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activeTab="6"/>
  </bookViews>
  <sheets>
    <sheet name="气候康养" sheetId="1" r:id="rId1"/>
    <sheet name="雨林度假与运动探险" sheetId="2" r:id="rId2"/>
    <sheet name="文化创意" sheetId="3" r:id="rId3"/>
    <sheet name="南药开发与热带果蔬" sheetId="4" r:id="rId4"/>
    <sheet name="休闲农业" sheetId="5" r:id="rId5"/>
    <sheet name="生物科创" sheetId="6" r:id="rId6"/>
    <sheet name="智慧经济" sheetId="7" r:id="rId7"/>
    <sheet name="总部经济" sheetId="8" r:id="rId8"/>
    <sheet name="国有资产管理" sheetId="9" r:id="rId9"/>
    <sheet name="规划编制" sheetId="10" r:id="rId10"/>
    <sheet name="土地测绘开发整理" sheetId="11" r:id="rId11"/>
  </sheets>
  <definedNames>
    <definedName name="_xlnm._FilterDatabase" localSheetId="0" hidden="1">气候康养!$A$3:$M$32</definedName>
    <definedName name="_xlnm._FilterDatabase" localSheetId="1" hidden="1">雨林度假与运动探险!$A$3:$O$87</definedName>
    <definedName name="_xlnm._FilterDatabase" localSheetId="3" hidden="1">南药开发与热带果蔬!$A$3:$D$19</definedName>
    <definedName name="_xlnm._FilterDatabase" localSheetId="5" hidden="1">生物科创!$A$3:$D$24</definedName>
    <definedName name="_xlnm._FilterDatabase" localSheetId="6" hidden="1">智慧经济!$A$3:$D$54</definedName>
    <definedName name="_xlnm._FilterDatabase" localSheetId="8" hidden="1">国有资产管理!$A$2:$D$55</definedName>
    <definedName name="_xlnm._FilterDatabase" localSheetId="9" hidden="1">规划编制!$A$2:$D$24</definedName>
    <definedName name="_xlnm._FilterDatabase" localSheetId="4" hidden="1">休闲农业!$A$3:$D$40</definedName>
    <definedName name="_xlnm._FilterDatabase" localSheetId="2" hidden="1">文化创意!$A$3:$D$35</definedName>
    <definedName name="_xlnm._FilterDatabase" localSheetId="7" hidden="1">总部经济!$A$2:$D$15</definedName>
    <definedName name="_xlnm._FilterDatabase" localSheetId="10" hidden="1">土地测绘开发整理!$A$2:$D$9</definedName>
    <definedName name="_xlnm.Print_Titles" localSheetId="1">雨林度假与运动探险!$1:$3</definedName>
    <definedName name="_xlnm.Print_Titles" localSheetId="2">文化创意!$1:$3</definedName>
    <definedName name="_xlnm.Print_Titles" localSheetId="4">休闲农业!$1:$3</definedName>
    <definedName name="_xlnm.Print_Titles" localSheetId="6">智慧经济!$1:$3</definedName>
    <definedName name="_xlnm.Print_Titles" localSheetId="8">国有资产管理!$1:$2</definedName>
    <definedName name="_xlnm.Print_Titles" localSheetId="9">规划编制!$1:$2</definedName>
    <definedName name="_xlnm.Print_Titles" localSheetId="0">气候康养!$1:$3</definedName>
  </definedNames>
  <calcPr calcId="144525"/>
</workbook>
</file>

<file path=xl/sharedStrings.xml><?xml version="1.0" encoding="utf-8"?>
<sst xmlns="http://schemas.openxmlformats.org/spreadsheetml/2006/main" count="72">
  <si>
    <t>保亭黎族苗族自治县2023年十大特色重点产业人才招聘资格初审合格人员名单、量化评分分数及入围现场考核人员名单</t>
  </si>
  <si>
    <t>序号</t>
  </si>
  <si>
    <t>关联产业</t>
  </si>
  <si>
    <t>工作单位</t>
  </si>
  <si>
    <t>姓名</t>
  </si>
  <si>
    <t>加分项目</t>
  </si>
  <si>
    <t>量化评分
分数合计</t>
  </si>
  <si>
    <t>资格初审结果</t>
  </si>
  <si>
    <t>是否入围现场考核</t>
  </si>
  <si>
    <t>备注</t>
  </si>
  <si>
    <t>学历
取得985/211院校本科学历加1分，硕士研究生学历加3分，博士研究生学历加4分（取得985/211院校硕士、博士学历额外加1分）</t>
  </si>
  <si>
    <t>工作业绩
有医疗健康领域、康复保健、健康管理等中医健康服务工作业绩加1分/项（满分5分）</t>
  </si>
  <si>
    <t>工作经历
有岗位相关工作经历或应届毕业生有岗位相关实习工作经历加0.5分/年（满分5分）</t>
  </si>
  <si>
    <t>发表论文
有在相关期刊上发表与康养管理类专业相关论文加0.5分/篇（满分5分）</t>
  </si>
  <si>
    <t xml:space="preserve">年度考核
连续2年及以上优秀加1分（满分1分）
</t>
  </si>
  <si>
    <t>101-气候康养</t>
  </si>
  <si>
    <t>县卫生健康委员会</t>
  </si>
  <si>
    <t>合格</t>
  </si>
  <si>
    <t>是</t>
  </si>
  <si>
    <t>否</t>
  </si>
  <si>
    <t>量化评分
分数</t>
  </si>
  <si>
    <t>学历
取得985/211院校本科学历加2分，硕士研究生学历加6分，博士研究生学历加8分（取得985/211院校硕士、博士学历额外加2分）</t>
  </si>
  <si>
    <t>职称
取得岗位相关专业技术中级职称加10分，高级职称加20分</t>
  </si>
  <si>
    <t>奖励或荣誉
获得省级（含）以上奖励或荣誉加2分/项（满分10分）</t>
  </si>
  <si>
    <t>发表论文
近5年内有在省级（含）以上学术期刊发表岗位相关论文或研究成果加2分/项（满分10分）</t>
  </si>
  <si>
    <t>工作业绩
独立或合作管理运营500万（含）项目，合作运营管理的需证明其发挥重要作用加2分/项（满分10分）</t>
  </si>
  <si>
    <t>年度考核
近5年内年度考核获得优秀等次加2分/次（满分10分）</t>
  </si>
  <si>
    <t>从业经历
近5年内有雨林度假、运动探险行业从业经历加2分/年（满分10分）</t>
  </si>
  <si>
    <t>102-雨林度假与运动探险</t>
  </si>
  <si>
    <t>县旅游和文化广电体育局</t>
  </si>
  <si>
    <t>从业经历
近5年内有文化创意行业从业经历加2分/年（满分10分）</t>
  </si>
  <si>
    <t>103-文化创意</t>
  </si>
  <si>
    <t>工作经历
有农业类专业相关工作经历加1分/年（满分5分）</t>
  </si>
  <si>
    <t>年度考核
连续2年及以上优秀加1分（满分1分）</t>
  </si>
  <si>
    <t>职称
取得农业类初级职称加1分，中级职称加3分，副高级职称4分，正高级职称加5分（满分5分）</t>
  </si>
  <si>
    <t>获奖
获省部级科学技术奖、神农中华农业科技奖、全国农牧渔业丰收奖或相同级别奖项加5分（满分5分）</t>
  </si>
  <si>
    <t>荣誉称号
获得省级及以上政府、人社、农业农村、人才部门授予的技术荣誉称号加3分（满分3分）</t>
  </si>
  <si>
    <t xml:space="preserve">
执业资格证书
取得农业类国家执业资格证书加1分/个（满分1分）</t>
  </si>
  <si>
    <t>专利或软件著作
作为主要完成人（限前3名），获得农业类相关的国家发明专利、实用新型专利或软件著作等成果加1分/个（满分3分）</t>
  </si>
  <si>
    <t>104-南药开发与热带果蔬</t>
  </si>
  <si>
    <t>县农业农村局</t>
  </si>
  <si>
    <t>执业资格证书
取得农业类国家执业资格证书加1分/个（满分1分）</t>
  </si>
  <si>
    <t>105-休闲农业</t>
  </si>
  <si>
    <t>工作业绩
有科技创新平台、高新技术产业类企业、产业园区相关工作业绩加1分/年（满分5分）</t>
  </si>
  <si>
    <t>发表论文
有在相关期刊上发表高新技术产业研究、园区运营建设等专业相关论文加0.5分/篇（满分5分）</t>
  </si>
  <si>
    <t>106-生物科创</t>
  </si>
  <si>
    <t>县科技和工业信息产业局</t>
  </si>
  <si>
    <t>职称
取得岗位相关专业技术中级职称加3分、高级职称加5分</t>
  </si>
  <si>
    <t>工作经验
有项目管理、经济管理、政府投资管理等相关工作经验加0.5分/年（满分5分）</t>
  </si>
  <si>
    <t>年度考核
在岗位相关专业技术工作中年度考核优秀加1分/年（满分5分）</t>
  </si>
  <si>
    <t>107-智慧经济</t>
  </si>
  <si>
    <t>县发展和改革委员会</t>
  </si>
  <si>
    <t>108-总部经济</t>
  </si>
  <si>
    <t>李杰</t>
  </si>
  <si>
    <t>工作业绩
有资产投融资、资产管理、资产评估等相关行业技术工作业绩加1/年(满分5分)</t>
  </si>
  <si>
    <t>工作经历
有资产投融资、资产管理、资产评估等相关行业技术工作经历加0.5分/年（满分5分）</t>
  </si>
  <si>
    <t>发表论文
有在相关期刊上发表与资产投融资、资产管理、资产评估等相关专业论文加0.5分/篇（满分5分)</t>
  </si>
  <si>
    <t>109-国有资产管理</t>
  </si>
  <si>
    <t>县国有资产事务中心</t>
  </si>
  <si>
    <t>职称
有规划类中级职称（规划工程师）职称加5分，副高级职称6分，正高级职称加7分</t>
  </si>
  <si>
    <t>工作业绩
有国土空间总体规划、控制性详细规划、村庄规划编制、调整及报批工作业绩加1分/项（满分5分）</t>
  </si>
  <si>
    <t>工作经历
有岗位相关工作经历或应届毕业生有岗位相关工作实习经历加0.5分/年（满分5分）</t>
  </si>
  <si>
    <t>发表论文
有在相关期刊上发表与规划类专业相关论文加0.5分/篇（满分5分）</t>
  </si>
  <si>
    <t>110-规划编制</t>
  </si>
  <si>
    <t>县自然资源和规划局</t>
  </si>
  <si>
    <t>蒙钟孟</t>
  </si>
  <si>
    <t>保亭黎族苗族自治县2023年十大特色重点产业人才招聘量化评分分数及入围现场考核人员名单</t>
  </si>
  <si>
    <t>职称
有测绘类中级职称（测绘工程师）职称加5分，副高级职称6分，正高级职称加7分</t>
  </si>
  <si>
    <t>工作业绩
有公益性土地测量、农村宅基地测量、项目地形测绘、土地资源开发整理工作业绩加1分/项（满分5分）</t>
  </si>
  <si>
    <t>发表论文
有在相关期刊上发表与测绘类专业、地理科学类相关论文加0.5分/篇（满分5分）</t>
  </si>
  <si>
    <t>土地测绘开发整理</t>
  </si>
  <si>
    <t>胡克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</si>
</sst>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等线"/>
      <charset val="134"/>
      <scheme val="minor"/>
    </font>
    <font>
      <sz val="12"/>
      <color theme="1"/>
      <name val="仿宋_GB2312"/>
      <charset val="134"/>
    </font>
    <font>
      <b/>
      <sz val="12"/>
      <color theme="1"/>
      <name val="仿宋_GB2312"/>
      <charset val="134"/>
    </font>
    <font>
      <b/>
      <sz val="18"/>
      <color theme="1"/>
      <name val="仿宋_GB2312"/>
      <charset val="134"/>
    </font>
    <font>
      <sz val="14"/>
      <color theme="1"/>
      <name val="仿宋_GB2312"/>
      <charset val="134"/>
    </font>
    <font>
      <b/>
      <sz val="16"/>
      <color theme="1"/>
      <name val="仿宋_GB2312"/>
      <charset val="134"/>
    </font>
    <font>
      <b/>
      <sz val="11"/>
      <color theme="1"/>
      <name val="等线"/>
      <charset val="134"/>
      <scheme val="minor"/>
    </font>
    <font>
      <sz val="12"/>
      <color theme="1"/>
      <name val="等线"/>
      <charset val="134"/>
      <scheme val="minor"/>
    </font>
    <font>
      <b/>
      <sz val="12"/>
      <color theme="1"/>
      <name val="等线"/>
      <charset val="134"/>
      <scheme val="minor"/>
    </font>
    <font>
      <sz val="12"/>
      <name val="仿宋_GB2312"/>
      <charset val="134"/>
    </font>
    <font>
      <sz val="14"/>
      <color theme="1"/>
      <name val="等线"/>
      <charset val="134"/>
      <scheme val="minor"/>
    </font>
    <font>
      <b/>
      <sz val="11"/>
      <color theme="1"/>
      <name val="仿宋_GB2312"/>
      <charset val="134"/>
    </font>
    <font>
      <sz val="11"/>
      <color theme="1"/>
      <name val="仿宋_GB2312"/>
      <charset val="134"/>
    </font>
    <font>
      <sz val="11"/>
      <name val="仿宋_GB2312"/>
      <charset val="134"/>
    </font>
    <font>
      <sz val="11"/>
      <color theme="0"/>
      <name val="等线"/>
      <charset val="134"/>
      <scheme val="minor"/>
    </font>
    <font>
      <b/>
      <sz val="13"/>
      <color theme="3"/>
      <name val="等线"/>
      <charset val="134"/>
      <scheme val="minor"/>
    </font>
    <font>
      <sz val="11"/>
      <color rgb="FFFF0000"/>
      <name val="等线"/>
      <charset val="134"/>
      <scheme val="minor"/>
    </font>
    <font>
      <b/>
      <sz val="15"/>
      <color theme="3"/>
      <name val="等线"/>
      <charset val="134"/>
      <scheme val="minor"/>
    </font>
    <font>
      <b/>
      <sz val="11"/>
      <color theme="3"/>
      <name val="等线"/>
      <charset val="134"/>
      <scheme val="minor"/>
    </font>
    <font>
      <sz val="18"/>
      <color theme="3"/>
      <name val="等线 Light"/>
      <charset val="134"/>
      <scheme val="major"/>
    </font>
    <font>
      <u/>
      <sz val="11"/>
      <color rgb="FF0000FF"/>
      <name val="等线"/>
      <charset val="0"/>
      <scheme val="minor"/>
    </font>
    <font>
      <sz val="11"/>
      <color rgb="FF9C0006"/>
      <name val="等线"/>
      <charset val="134"/>
      <scheme val="minor"/>
    </font>
    <font>
      <b/>
      <sz val="11"/>
      <color theme="0"/>
      <name val="等线"/>
      <charset val="134"/>
      <scheme val="minor"/>
    </font>
    <font>
      <sz val="11"/>
      <color rgb="FF9C5700"/>
      <name val="等线"/>
      <charset val="134"/>
      <scheme val="minor"/>
    </font>
    <font>
      <sz val="11"/>
      <color rgb="FF3F3F76"/>
      <name val="等线"/>
      <charset val="134"/>
      <scheme val="minor"/>
    </font>
    <font>
      <b/>
      <sz val="11"/>
      <color rgb="FFFA7D00"/>
      <name val="等线"/>
      <charset val="134"/>
      <scheme val="minor"/>
    </font>
    <font>
      <sz val="11"/>
      <color rgb="FFFA7D00"/>
      <name val="等线"/>
      <charset val="134"/>
      <scheme val="minor"/>
    </font>
    <font>
      <i/>
      <sz val="11"/>
      <color rgb="FF7F7F7F"/>
      <name val="等线"/>
      <charset val="134"/>
      <scheme val="minor"/>
    </font>
    <font>
      <u/>
      <sz val="11"/>
      <color rgb="FF800080"/>
      <name val="等线"/>
      <charset val="0"/>
      <scheme val="minor"/>
    </font>
    <font>
      <b/>
      <sz val="11"/>
      <color rgb="FF3F3F3F"/>
      <name val="等线"/>
      <charset val="134"/>
      <scheme val="minor"/>
    </font>
    <font>
      <sz val="11"/>
      <color rgb="FF006100"/>
      <name val="等线"/>
      <charset val="134"/>
      <scheme val="minor"/>
    </font>
  </fonts>
  <fills count="33">
    <fill>
      <patternFill patternType="none"/>
    </fill>
    <fill>
      <patternFill patternType="gray125"/>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ck">
        <color theme="4" tint="0.499984740745262"/>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0" fillId="17" borderId="0" applyNumberFormat="0" applyBorder="0" applyAlignment="0" applyProtection="0">
      <alignment vertical="center"/>
    </xf>
    <xf numFmtId="0" fontId="24" fillId="1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0"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5" borderId="7" applyNumberFormat="0" applyFont="0" applyAlignment="0" applyProtection="0">
      <alignment vertical="center"/>
    </xf>
    <xf numFmtId="0" fontId="0" fillId="13"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6" applyNumberFormat="0" applyFill="0" applyAlignment="0" applyProtection="0">
      <alignment vertical="center"/>
    </xf>
    <xf numFmtId="0" fontId="15" fillId="0" borderId="5" applyNumberFormat="0" applyFill="0" applyAlignment="0" applyProtection="0">
      <alignment vertical="center"/>
    </xf>
    <xf numFmtId="0" fontId="0" fillId="18" borderId="0" applyNumberFormat="0" applyBorder="0" applyAlignment="0" applyProtection="0">
      <alignment vertical="center"/>
    </xf>
    <xf numFmtId="0" fontId="18" fillId="0" borderId="8" applyNumberFormat="0" applyFill="0" applyAlignment="0" applyProtection="0">
      <alignment vertical="center"/>
    </xf>
    <xf numFmtId="0" fontId="0" fillId="22" borderId="0" applyNumberFormat="0" applyBorder="0" applyAlignment="0" applyProtection="0">
      <alignment vertical="center"/>
    </xf>
    <xf numFmtId="0" fontId="29" fillId="16" borderId="12" applyNumberFormat="0" applyAlignment="0" applyProtection="0">
      <alignment vertical="center"/>
    </xf>
    <xf numFmtId="0" fontId="25" fillId="16" borderId="10" applyNumberFormat="0" applyAlignment="0" applyProtection="0">
      <alignment vertical="center"/>
    </xf>
    <xf numFmtId="0" fontId="22" fillId="10" borderId="9" applyNumberFormat="0" applyAlignment="0" applyProtection="0">
      <alignment vertical="center"/>
    </xf>
    <xf numFmtId="0" fontId="0" fillId="26" borderId="0" applyNumberFormat="0" applyBorder="0" applyAlignment="0" applyProtection="0">
      <alignment vertical="center"/>
    </xf>
    <xf numFmtId="0" fontId="14" fillId="28" borderId="0" applyNumberFormat="0" applyBorder="0" applyAlignment="0" applyProtection="0">
      <alignment vertical="center"/>
    </xf>
    <xf numFmtId="0" fontId="26" fillId="0" borderId="11" applyNumberFormat="0" applyFill="0" applyAlignment="0" applyProtection="0">
      <alignment vertical="center"/>
    </xf>
    <xf numFmtId="0" fontId="6" fillId="0" borderId="13" applyNumberFormat="0" applyFill="0" applyAlignment="0" applyProtection="0">
      <alignment vertical="center"/>
    </xf>
    <xf numFmtId="0" fontId="30" fillId="30" borderId="0" applyNumberFormat="0" applyBorder="0" applyAlignment="0" applyProtection="0">
      <alignment vertical="center"/>
    </xf>
    <xf numFmtId="0" fontId="23" fillId="12" borderId="0" applyNumberFormat="0" applyBorder="0" applyAlignment="0" applyProtection="0">
      <alignment vertical="center"/>
    </xf>
    <xf numFmtId="0" fontId="0" fillId="31" borderId="0" applyNumberFormat="0" applyBorder="0" applyAlignment="0" applyProtection="0">
      <alignment vertical="center"/>
    </xf>
    <xf numFmtId="0" fontId="14" fillId="24"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0" fillId="25" borderId="0" applyNumberFormat="0" applyBorder="0" applyAlignment="0" applyProtection="0">
      <alignment vertical="center"/>
    </xf>
    <xf numFmtId="0" fontId="0" fillId="4" borderId="0" applyNumberFormat="0" applyBorder="0" applyAlignment="0" applyProtection="0">
      <alignment vertical="center"/>
    </xf>
    <xf numFmtId="0" fontId="14" fillId="2" borderId="0" applyNumberFormat="0" applyBorder="0" applyAlignment="0" applyProtection="0">
      <alignment vertical="center"/>
    </xf>
    <xf numFmtId="0" fontId="0" fillId="6" borderId="0" applyNumberFormat="0" applyBorder="0" applyAlignment="0" applyProtection="0">
      <alignment vertical="center"/>
    </xf>
    <xf numFmtId="0" fontId="0" fillId="32" borderId="0" applyNumberFormat="0" applyBorder="0" applyAlignment="0" applyProtection="0">
      <alignment vertical="center"/>
    </xf>
    <xf numFmtId="0" fontId="14" fillId="20"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cellStyleXfs>
  <cellXfs count="5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Fill="1">
      <alignment vertical="center"/>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protection locked="0"/>
    </xf>
    <xf numFmtId="0" fontId="0" fillId="0" borderId="0" xfId="0" applyProtection="1">
      <alignment vertical="center"/>
      <protection locked="0"/>
    </xf>
    <xf numFmtId="0" fontId="0" fillId="0" borderId="0" xfId="0" applyFont="1" applyAlignment="1">
      <alignment horizontal="center" vertical="center"/>
    </xf>
    <xf numFmtId="0" fontId="2"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0" xfId="0" applyFont="1" applyAlignment="1">
      <alignment horizontal="center" vertical="center"/>
    </xf>
    <xf numFmtId="0" fontId="1" fillId="0" borderId="0" xfId="0" applyFont="1">
      <alignment vertical="center"/>
    </xf>
    <xf numFmtId="0" fontId="5"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Fill="1" applyAlignment="1">
      <alignment vertical="center" wrapText="1"/>
    </xf>
    <xf numFmtId="0" fontId="3"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0" xfId="0" applyFont="1">
      <alignment vertical="center"/>
    </xf>
    <xf numFmtId="0" fontId="7" fillId="0" borderId="0" xfId="0" applyFont="1" applyFill="1">
      <alignment vertical="center"/>
    </xf>
    <xf numFmtId="0" fontId="0" fillId="0" borderId="0" xfId="0" applyFill="1" applyAlignment="1">
      <alignment horizontal="center" vertical="center"/>
    </xf>
    <xf numFmtId="0" fontId="6" fillId="0" borderId="0" xfId="0" applyFont="1" applyFill="1" applyAlignment="1">
      <alignment horizontal="center" vertical="center"/>
    </xf>
    <xf numFmtId="0" fontId="3"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10" fillId="0" borderId="0" xfId="0" applyFont="1" applyFill="1" applyAlignment="1">
      <alignment horizontal="center" vertical="center" wrapText="1"/>
    </xf>
    <xf numFmtId="0" fontId="0" fillId="0" borderId="0" xfId="0" applyFill="1" applyAlignment="1">
      <alignmen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3"/>
  <sheetViews>
    <sheetView workbookViewId="0">
      <selection activeCell="F4" sqref="F4"/>
    </sheetView>
  </sheetViews>
  <sheetFormatPr defaultColWidth="8.70833333333333" defaultRowHeight="13.5"/>
  <cols>
    <col min="1" max="1" width="5.625" style="4" customWidth="1"/>
    <col min="2" max="2" width="12.625" style="4" customWidth="1"/>
    <col min="3" max="3" width="16.625" style="4" customWidth="1"/>
    <col min="4" max="4" width="10.625" style="45" customWidth="1"/>
    <col min="5" max="6" width="16.625" style="4" customWidth="1"/>
    <col min="7" max="9" width="16.625" style="28" customWidth="1"/>
    <col min="10" max="12" width="9.625" style="4" customWidth="1"/>
    <col min="13" max="13" width="6.625" style="4" customWidth="1"/>
    <col min="14" max="16384" width="8.70833333333333" style="4"/>
  </cols>
  <sheetData>
    <row r="1" s="34" customFormat="1" ht="87" customHeight="1" spans="1:13">
      <c r="A1" s="5" t="s">
        <v>0</v>
      </c>
      <c r="B1" s="29"/>
      <c r="C1" s="29"/>
      <c r="D1" s="29"/>
      <c r="E1" s="29"/>
      <c r="F1" s="29"/>
      <c r="G1" s="5"/>
      <c r="H1" s="5"/>
      <c r="I1" s="5"/>
      <c r="J1" s="29"/>
      <c r="K1" s="29"/>
      <c r="L1" s="29"/>
      <c r="M1" s="29"/>
    </row>
    <row r="2" s="34" customFormat="1" ht="28" customHeight="1" spans="1:13">
      <c r="A2" s="46" t="s">
        <v>1</v>
      </c>
      <c r="B2" s="46" t="s">
        <v>2</v>
      </c>
      <c r="C2" s="46" t="s">
        <v>3</v>
      </c>
      <c r="D2" s="46" t="s">
        <v>4</v>
      </c>
      <c r="E2" s="46" t="s">
        <v>5</v>
      </c>
      <c r="F2" s="46"/>
      <c r="G2" s="47"/>
      <c r="H2" s="47"/>
      <c r="I2" s="47"/>
      <c r="J2" s="51" t="s">
        <v>6</v>
      </c>
      <c r="K2" s="51" t="s">
        <v>7</v>
      </c>
      <c r="L2" s="51" t="s">
        <v>8</v>
      </c>
      <c r="M2" s="52" t="s">
        <v>9</v>
      </c>
    </row>
    <row r="3" s="35" customFormat="1" ht="121.5" spans="1:13">
      <c r="A3" s="46"/>
      <c r="B3" s="46"/>
      <c r="C3" s="46"/>
      <c r="D3" s="46"/>
      <c r="E3" s="47" t="s">
        <v>10</v>
      </c>
      <c r="F3" s="47" t="s">
        <v>11</v>
      </c>
      <c r="G3" s="47" t="s">
        <v>12</v>
      </c>
      <c r="H3" s="47" t="s">
        <v>13</v>
      </c>
      <c r="I3" s="47" t="s">
        <v>14</v>
      </c>
      <c r="J3" s="53"/>
      <c r="K3" s="53"/>
      <c r="L3" s="53"/>
      <c r="M3" s="54"/>
    </row>
    <row r="4" s="44" customFormat="1" ht="28" customHeight="1" spans="1:13">
      <c r="A4" s="48">
        <v>1</v>
      </c>
      <c r="B4" s="48" t="s">
        <v>15</v>
      </c>
      <c r="C4" s="48" t="s">
        <v>16</v>
      </c>
      <c r="D4" s="49" t="str">
        <f>"麦丹娆"</f>
        <v>麦丹娆</v>
      </c>
      <c r="E4" s="48">
        <v>3</v>
      </c>
      <c r="F4" s="48">
        <v>0</v>
      </c>
      <c r="G4" s="48">
        <v>0.5</v>
      </c>
      <c r="H4" s="48">
        <v>0</v>
      </c>
      <c r="I4" s="48">
        <v>0</v>
      </c>
      <c r="J4" s="48">
        <v>3.5</v>
      </c>
      <c r="K4" s="48" t="s">
        <v>17</v>
      </c>
      <c r="L4" s="48" t="s">
        <v>18</v>
      </c>
      <c r="M4" s="48"/>
    </row>
    <row r="5" s="44" customFormat="1" ht="28" customHeight="1" spans="1:13">
      <c r="A5" s="48">
        <v>2</v>
      </c>
      <c r="B5" s="48" t="s">
        <v>15</v>
      </c>
      <c r="C5" s="48" t="s">
        <v>16</v>
      </c>
      <c r="D5" s="49" t="str">
        <f>"黄金美"</f>
        <v>黄金美</v>
      </c>
      <c r="E5" s="48">
        <v>1</v>
      </c>
      <c r="F5" s="48">
        <v>0</v>
      </c>
      <c r="G5" s="48">
        <v>1.5</v>
      </c>
      <c r="H5" s="48">
        <v>0</v>
      </c>
      <c r="I5" s="48">
        <v>0</v>
      </c>
      <c r="J5" s="48">
        <v>2.5</v>
      </c>
      <c r="K5" s="48" t="s">
        <v>17</v>
      </c>
      <c r="L5" s="48" t="s">
        <v>18</v>
      </c>
      <c r="M5" s="48"/>
    </row>
    <row r="6" s="44" customFormat="1" ht="28" customHeight="1" spans="1:13">
      <c r="A6" s="48">
        <v>3</v>
      </c>
      <c r="B6" s="48" t="s">
        <v>15</v>
      </c>
      <c r="C6" s="48" t="s">
        <v>16</v>
      </c>
      <c r="D6" s="49" t="str">
        <f>"陈畅"</f>
        <v>陈畅</v>
      </c>
      <c r="E6" s="48">
        <v>1</v>
      </c>
      <c r="F6" s="48">
        <v>0</v>
      </c>
      <c r="G6" s="48">
        <v>1.5</v>
      </c>
      <c r="H6" s="48">
        <v>0</v>
      </c>
      <c r="I6" s="48">
        <v>0</v>
      </c>
      <c r="J6" s="48">
        <v>2.5</v>
      </c>
      <c r="K6" s="48" t="s">
        <v>17</v>
      </c>
      <c r="L6" s="48" t="s">
        <v>18</v>
      </c>
      <c r="M6" s="48"/>
    </row>
    <row r="7" s="44" customFormat="1" ht="28" customHeight="1" spans="1:13">
      <c r="A7" s="48">
        <v>4</v>
      </c>
      <c r="B7" s="48" t="s">
        <v>15</v>
      </c>
      <c r="C7" s="48" t="s">
        <v>16</v>
      </c>
      <c r="D7" s="49" t="str">
        <f>"唐文珍"</f>
        <v>唐文珍</v>
      </c>
      <c r="E7" s="48">
        <v>0</v>
      </c>
      <c r="F7" s="48">
        <v>0</v>
      </c>
      <c r="G7" s="48">
        <v>1.5</v>
      </c>
      <c r="H7" s="48">
        <v>0</v>
      </c>
      <c r="I7" s="48">
        <v>0</v>
      </c>
      <c r="J7" s="48">
        <v>1.5</v>
      </c>
      <c r="K7" s="48" t="s">
        <v>17</v>
      </c>
      <c r="L7" s="48" t="s">
        <v>18</v>
      </c>
      <c r="M7" s="48"/>
    </row>
    <row r="8" s="44" customFormat="1" ht="28" customHeight="1" spans="1:13">
      <c r="A8" s="48">
        <v>5</v>
      </c>
      <c r="B8" s="48" t="s">
        <v>15</v>
      </c>
      <c r="C8" s="48" t="s">
        <v>16</v>
      </c>
      <c r="D8" s="49" t="str">
        <f>"陈晓雪"</f>
        <v>陈晓雪</v>
      </c>
      <c r="E8" s="48">
        <v>0</v>
      </c>
      <c r="F8" s="48">
        <v>0</v>
      </c>
      <c r="G8" s="48">
        <v>1</v>
      </c>
      <c r="H8" s="48">
        <v>0</v>
      </c>
      <c r="I8" s="48">
        <v>0</v>
      </c>
      <c r="J8" s="48">
        <v>1</v>
      </c>
      <c r="K8" s="48" t="s">
        <v>17</v>
      </c>
      <c r="L8" s="48" t="s">
        <v>18</v>
      </c>
      <c r="M8" s="48"/>
    </row>
    <row r="9" s="44" customFormat="1" ht="28" customHeight="1" spans="1:13">
      <c r="A9" s="48">
        <v>6</v>
      </c>
      <c r="B9" s="48" t="s">
        <v>15</v>
      </c>
      <c r="C9" s="48" t="s">
        <v>16</v>
      </c>
      <c r="D9" s="49" t="str">
        <f>"许国紫"</f>
        <v>许国紫</v>
      </c>
      <c r="E9" s="48">
        <v>1</v>
      </c>
      <c r="F9" s="48">
        <v>0</v>
      </c>
      <c r="G9" s="48">
        <v>0</v>
      </c>
      <c r="H9" s="48">
        <v>0</v>
      </c>
      <c r="I9" s="48">
        <v>0</v>
      </c>
      <c r="J9" s="48">
        <v>1</v>
      </c>
      <c r="K9" s="48" t="s">
        <v>17</v>
      </c>
      <c r="L9" s="48" t="s">
        <v>18</v>
      </c>
      <c r="M9" s="48"/>
    </row>
    <row r="10" s="44" customFormat="1" ht="28" customHeight="1" spans="1:13">
      <c r="A10" s="48">
        <v>7</v>
      </c>
      <c r="B10" s="48" t="s">
        <v>15</v>
      </c>
      <c r="C10" s="48" t="s">
        <v>16</v>
      </c>
      <c r="D10" s="49" t="str">
        <f>"王海文"</f>
        <v>王海文</v>
      </c>
      <c r="E10" s="48">
        <v>1</v>
      </c>
      <c r="F10" s="48">
        <v>0</v>
      </c>
      <c r="G10" s="48">
        <v>0</v>
      </c>
      <c r="H10" s="48">
        <v>0</v>
      </c>
      <c r="I10" s="48">
        <v>0</v>
      </c>
      <c r="J10" s="48">
        <v>1</v>
      </c>
      <c r="K10" s="48" t="s">
        <v>17</v>
      </c>
      <c r="L10" s="48" t="s">
        <v>18</v>
      </c>
      <c r="M10" s="48"/>
    </row>
    <row r="11" s="44" customFormat="1" ht="28" customHeight="1" spans="1:13">
      <c r="A11" s="48">
        <v>8</v>
      </c>
      <c r="B11" s="48" t="s">
        <v>15</v>
      </c>
      <c r="C11" s="48" t="s">
        <v>16</v>
      </c>
      <c r="D11" s="49" t="str">
        <f>"陈厚仲"</f>
        <v>陈厚仲</v>
      </c>
      <c r="E11" s="50">
        <v>1</v>
      </c>
      <c r="F11" s="48">
        <v>0</v>
      </c>
      <c r="G11" s="48">
        <v>0</v>
      </c>
      <c r="H11" s="48">
        <v>0</v>
      </c>
      <c r="I11" s="48">
        <v>0</v>
      </c>
      <c r="J11" s="48">
        <v>1</v>
      </c>
      <c r="K11" s="48" t="s">
        <v>17</v>
      </c>
      <c r="L11" s="48" t="s">
        <v>18</v>
      </c>
      <c r="M11" s="48"/>
    </row>
    <row r="12" s="44" customFormat="1" ht="28" customHeight="1" spans="1:13">
      <c r="A12" s="48">
        <v>9</v>
      </c>
      <c r="B12" s="48" t="s">
        <v>15</v>
      </c>
      <c r="C12" s="48" t="s">
        <v>16</v>
      </c>
      <c r="D12" s="49" t="str">
        <f>"符梦娜"</f>
        <v>符梦娜</v>
      </c>
      <c r="E12" s="48">
        <v>1</v>
      </c>
      <c r="F12" s="48">
        <v>0</v>
      </c>
      <c r="G12" s="48">
        <v>0</v>
      </c>
      <c r="H12" s="48">
        <v>0</v>
      </c>
      <c r="I12" s="48">
        <v>0</v>
      </c>
      <c r="J12" s="48">
        <v>1</v>
      </c>
      <c r="K12" s="48" t="s">
        <v>17</v>
      </c>
      <c r="L12" s="48" t="s">
        <v>18</v>
      </c>
      <c r="M12" s="48"/>
    </row>
    <row r="13" s="44" customFormat="1" ht="28" customHeight="1" spans="1:13">
      <c r="A13" s="48">
        <v>10</v>
      </c>
      <c r="B13" s="48" t="s">
        <v>15</v>
      </c>
      <c r="C13" s="48" t="s">
        <v>16</v>
      </c>
      <c r="D13" s="49" t="str">
        <f>"陈美玲"</f>
        <v>陈美玲</v>
      </c>
      <c r="E13" s="48">
        <v>0</v>
      </c>
      <c r="F13" s="48">
        <v>0</v>
      </c>
      <c r="G13" s="48">
        <v>1</v>
      </c>
      <c r="H13" s="48">
        <v>0</v>
      </c>
      <c r="I13" s="48">
        <v>0</v>
      </c>
      <c r="J13" s="48">
        <v>1</v>
      </c>
      <c r="K13" s="48" t="s">
        <v>17</v>
      </c>
      <c r="L13" s="48" t="s">
        <v>18</v>
      </c>
      <c r="M13" s="48"/>
    </row>
    <row r="14" s="44" customFormat="1" ht="28" customHeight="1" spans="1:13">
      <c r="A14" s="48">
        <v>11</v>
      </c>
      <c r="B14" s="48" t="s">
        <v>15</v>
      </c>
      <c r="C14" s="48" t="s">
        <v>16</v>
      </c>
      <c r="D14" s="49" t="str">
        <f>"黄慧娟"</f>
        <v>黄慧娟</v>
      </c>
      <c r="E14" s="48">
        <v>0</v>
      </c>
      <c r="F14" s="48">
        <v>0</v>
      </c>
      <c r="G14" s="48">
        <v>0.5</v>
      </c>
      <c r="H14" s="48">
        <v>0</v>
      </c>
      <c r="I14" s="48">
        <v>0</v>
      </c>
      <c r="J14" s="48">
        <v>0.5</v>
      </c>
      <c r="K14" s="48" t="s">
        <v>17</v>
      </c>
      <c r="L14" s="48" t="s">
        <v>18</v>
      </c>
      <c r="M14" s="48"/>
    </row>
    <row r="15" s="44" customFormat="1" ht="28" customHeight="1" spans="1:13">
      <c r="A15" s="48">
        <v>12</v>
      </c>
      <c r="B15" s="48" t="s">
        <v>15</v>
      </c>
      <c r="C15" s="48" t="s">
        <v>16</v>
      </c>
      <c r="D15" s="49" t="str">
        <f>"陈泽楠"</f>
        <v>陈泽楠</v>
      </c>
      <c r="E15" s="48">
        <v>0</v>
      </c>
      <c r="F15" s="48">
        <v>0</v>
      </c>
      <c r="G15" s="48">
        <v>0.5</v>
      </c>
      <c r="H15" s="48">
        <v>0</v>
      </c>
      <c r="I15" s="48">
        <v>0</v>
      </c>
      <c r="J15" s="48">
        <v>0.5</v>
      </c>
      <c r="K15" s="48" t="s">
        <v>17</v>
      </c>
      <c r="L15" s="48" t="s">
        <v>18</v>
      </c>
      <c r="M15" s="48"/>
    </row>
    <row r="16" s="44" customFormat="1" ht="28" customHeight="1" spans="1:13">
      <c r="A16" s="48">
        <v>13</v>
      </c>
      <c r="B16" s="48" t="s">
        <v>15</v>
      </c>
      <c r="C16" s="48" t="s">
        <v>16</v>
      </c>
      <c r="D16" s="49" t="str">
        <f>"王潆萱"</f>
        <v>王潆萱</v>
      </c>
      <c r="E16" s="48">
        <v>0</v>
      </c>
      <c r="F16" s="48">
        <v>0</v>
      </c>
      <c r="G16" s="48">
        <v>0</v>
      </c>
      <c r="H16" s="48">
        <v>0</v>
      </c>
      <c r="I16" s="48">
        <v>0</v>
      </c>
      <c r="J16" s="48">
        <v>0</v>
      </c>
      <c r="K16" s="48" t="s">
        <v>17</v>
      </c>
      <c r="L16" s="48" t="s">
        <v>19</v>
      </c>
      <c r="M16" s="48"/>
    </row>
    <row r="17" s="44" customFormat="1" ht="28" customHeight="1" spans="1:13">
      <c r="A17" s="48">
        <v>14</v>
      </c>
      <c r="B17" s="48" t="s">
        <v>15</v>
      </c>
      <c r="C17" s="48" t="s">
        <v>16</v>
      </c>
      <c r="D17" s="49" t="str">
        <f>"张书雨"</f>
        <v>张书雨</v>
      </c>
      <c r="E17" s="48">
        <v>0</v>
      </c>
      <c r="F17" s="48">
        <v>0</v>
      </c>
      <c r="G17" s="48">
        <v>0</v>
      </c>
      <c r="H17" s="48">
        <v>0</v>
      </c>
      <c r="I17" s="48">
        <v>0</v>
      </c>
      <c r="J17" s="48">
        <v>0</v>
      </c>
      <c r="K17" s="48" t="s">
        <v>17</v>
      </c>
      <c r="L17" s="48" t="s">
        <v>19</v>
      </c>
      <c r="M17" s="48"/>
    </row>
    <row r="18" s="44" customFormat="1" ht="28" customHeight="1" spans="1:13">
      <c r="A18" s="48">
        <v>15</v>
      </c>
      <c r="B18" s="48" t="s">
        <v>15</v>
      </c>
      <c r="C18" s="48" t="s">
        <v>16</v>
      </c>
      <c r="D18" s="49" t="str">
        <f>"林晓红"</f>
        <v>林晓红</v>
      </c>
      <c r="E18" s="48">
        <v>0</v>
      </c>
      <c r="F18" s="48">
        <v>0</v>
      </c>
      <c r="G18" s="48">
        <v>0</v>
      </c>
      <c r="H18" s="48">
        <v>0</v>
      </c>
      <c r="I18" s="48">
        <v>0</v>
      </c>
      <c r="J18" s="48">
        <v>0</v>
      </c>
      <c r="K18" s="48" t="s">
        <v>17</v>
      </c>
      <c r="L18" s="48" t="s">
        <v>19</v>
      </c>
      <c r="M18" s="48"/>
    </row>
    <row r="19" s="44" customFormat="1" ht="28" customHeight="1" spans="1:13">
      <c r="A19" s="48">
        <v>16</v>
      </c>
      <c r="B19" s="48" t="s">
        <v>15</v>
      </c>
      <c r="C19" s="48" t="s">
        <v>16</v>
      </c>
      <c r="D19" s="49" t="str">
        <f>"李倩"</f>
        <v>李倩</v>
      </c>
      <c r="E19" s="48">
        <v>0</v>
      </c>
      <c r="F19" s="48">
        <v>0</v>
      </c>
      <c r="G19" s="48">
        <v>0</v>
      </c>
      <c r="H19" s="48">
        <v>0</v>
      </c>
      <c r="I19" s="48">
        <v>0</v>
      </c>
      <c r="J19" s="48">
        <v>0</v>
      </c>
      <c r="K19" s="48" t="s">
        <v>17</v>
      </c>
      <c r="L19" s="48" t="s">
        <v>19</v>
      </c>
      <c r="M19" s="48"/>
    </row>
    <row r="20" s="44" customFormat="1" ht="28" customHeight="1" spans="1:13">
      <c r="A20" s="48">
        <v>17</v>
      </c>
      <c r="B20" s="48" t="s">
        <v>15</v>
      </c>
      <c r="C20" s="48" t="s">
        <v>16</v>
      </c>
      <c r="D20" s="49" t="str">
        <f>"詹达富"</f>
        <v>詹达富</v>
      </c>
      <c r="E20" s="48">
        <v>0</v>
      </c>
      <c r="F20" s="48">
        <v>0</v>
      </c>
      <c r="G20" s="48">
        <v>0</v>
      </c>
      <c r="H20" s="48">
        <v>0</v>
      </c>
      <c r="I20" s="48">
        <v>0</v>
      </c>
      <c r="J20" s="48">
        <v>0</v>
      </c>
      <c r="K20" s="48" t="s">
        <v>17</v>
      </c>
      <c r="L20" s="48" t="s">
        <v>19</v>
      </c>
      <c r="M20" s="48"/>
    </row>
    <row r="21" s="44" customFormat="1" ht="28" customHeight="1" spans="1:13">
      <c r="A21" s="48">
        <v>18</v>
      </c>
      <c r="B21" s="48" t="s">
        <v>15</v>
      </c>
      <c r="C21" s="48" t="s">
        <v>16</v>
      </c>
      <c r="D21" s="49" t="str">
        <f>"黄成"</f>
        <v>黄成</v>
      </c>
      <c r="E21" s="48">
        <v>0</v>
      </c>
      <c r="F21" s="48">
        <v>0</v>
      </c>
      <c r="G21" s="48">
        <v>0</v>
      </c>
      <c r="H21" s="48">
        <v>0</v>
      </c>
      <c r="I21" s="48">
        <v>0</v>
      </c>
      <c r="J21" s="48">
        <v>0</v>
      </c>
      <c r="K21" s="48" t="s">
        <v>17</v>
      </c>
      <c r="L21" s="48" t="s">
        <v>19</v>
      </c>
      <c r="M21" s="48"/>
    </row>
    <row r="22" s="44" customFormat="1" ht="28" customHeight="1" spans="1:13">
      <c r="A22" s="48">
        <v>19</v>
      </c>
      <c r="B22" s="48" t="s">
        <v>15</v>
      </c>
      <c r="C22" s="48" t="s">
        <v>16</v>
      </c>
      <c r="D22" s="49" t="str">
        <f>"韦迪梓"</f>
        <v>韦迪梓</v>
      </c>
      <c r="E22" s="48">
        <v>0</v>
      </c>
      <c r="F22" s="48">
        <v>0</v>
      </c>
      <c r="G22" s="48">
        <v>0</v>
      </c>
      <c r="H22" s="48">
        <v>0</v>
      </c>
      <c r="I22" s="48">
        <v>0</v>
      </c>
      <c r="J22" s="48">
        <v>0</v>
      </c>
      <c r="K22" s="48" t="s">
        <v>17</v>
      </c>
      <c r="L22" s="48" t="s">
        <v>19</v>
      </c>
      <c r="M22" s="48"/>
    </row>
    <row r="23" s="44" customFormat="1" ht="28" customHeight="1" spans="1:13">
      <c r="A23" s="48">
        <v>20</v>
      </c>
      <c r="B23" s="48" t="s">
        <v>15</v>
      </c>
      <c r="C23" s="48" t="s">
        <v>16</v>
      </c>
      <c r="D23" s="49" t="str">
        <f>"谭艳丽"</f>
        <v>谭艳丽</v>
      </c>
      <c r="E23" s="48">
        <v>0</v>
      </c>
      <c r="F23" s="48">
        <v>0</v>
      </c>
      <c r="G23" s="48">
        <v>0</v>
      </c>
      <c r="H23" s="48">
        <v>0</v>
      </c>
      <c r="I23" s="48">
        <v>0</v>
      </c>
      <c r="J23" s="48">
        <v>0</v>
      </c>
      <c r="K23" s="48" t="s">
        <v>17</v>
      </c>
      <c r="L23" s="48" t="s">
        <v>19</v>
      </c>
      <c r="M23" s="48"/>
    </row>
    <row r="24" s="44" customFormat="1" ht="28" customHeight="1" spans="1:13">
      <c r="A24" s="48">
        <v>21</v>
      </c>
      <c r="B24" s="48" t="s">
        <v>15</v>
      </c>
      <c r="C24" s="48" t="s">
        <v>16</v>
      </c>
      <c r="D24" s="49" t="str">
        <f>"高建玉"</f>
        <v>高建玉</v>
      </c>
      <c r="E24" s="48">
        <v>0</v>
      </c>
      <c r="F24" s="48">
        <v>0</v>
      </c>
      <c r="G24" s="48">
        <v>0</v>
      </c>
      <c r="H24" s="48">
        <v>0</v>
      </c>
      <c r="I24" s="48">
        <v>0</v>
      </c>
      <c r="J24" s="48">
        <v>0</v>
      </c>
      <c r="K24" s="48" t="s">
        <v>17</v>
      </c>
      <c r="L24" s="48" t="s">
        <v>19</v>
      </c>
      <c r="M24" s="48"/>
    </row>
    <row r="25" s="44" customFormat="1" ht="28" customHeight="1" spans="1:13">
      <c r="A25" s="48">
        <v>22</v>
      </c>
      <c r="B25" s="48" t="s">
        <v>15</v>
      </c>
      <c r="C25" s="48" t="s">
        <v>16</v>
      </c>
      <c r="D25" s="49" t="str">
        <f>"李晨晨"</f>
        <v>李晨晨</v>
      </c>
      <c r="E25" s="48">
        <v>0</v>
      </c>
      <c r="F25" s="48">
        <v>0</v>
      </c>
      <c r="G25" s="48">
        <v>0</v>
      </c>
      <c r="H25" s="48">
        <v>0</v>
      </c>
      <c r="I25" s="48">
        <v>0</v>
      </c>
      <c r="J25" s="48">
        <v>0</v>
      </c>
      <c r="K25" s="48" t="s">
        <v>17</v>
      </c>
      <c r="L25" s="48" t="s">
        <v>19</v>
      </c>
      <c r="M25" s="48"/>
    </row>
    <row r="26" s="44" customFormat="1" ht="28" customHeight="1" spans="1:13">
      <c r="A26" s="48">
        <v>23</v>
      </c>
      <c r="B26" s="48" t="s">
        <v>15</v>
      </c>
      <c r="C26" s="48" t="s">
        <v>16</v>
      </c>
      <c r="D26" s="49" t="str">
        <f>"何传森"</f>
        <v>何传森</v>
      </c>
      <c r="E26" s="48">
        <v>0</v>
      </c>
      <c r="F26" s="48">
        <v>0</v>
      </c>
      <c r="G26" s="48">
        <v>0</v>
      </c>
      <c r="H26" s="48">
        <v>0</v>
      </c>
      <c r="I26" s="48">
        <v>0</v>
      </c>
      <c r="J26" s="48">
        <v>0</v>
      </c>
      <c r="K26" s="48" t="s">
        <v>17</v>
      </c>
      <c r="L26" s="48" t="s">
        <v>19</v>
      </c>
      <c r="M26" s="48"/>
    </row>
    <row r="27" s="44" customFormat="1" ht="28" customHeight="1" spans="1:13">
      <c r="A27" s="48">
        <v>24</v>
      </c>
      <c r="B27" s="48" t="s">
        <v>15</v>
      </c>
      <c r="C27" s="48" t="s">
        <v>16</v>
      </c>
      <c r="D27" s="49" t="str">
        <f>"李家漪"</f>
        <v>李家漪</v>
      </c>
      <c r="E27" s="48">
        <v>0</v>
      </c>
      <c r="F27" s="48">
        <v>0</v>
      </c>
      <c r="G27" s="48">
        <v>0</v>
      </c>
      <c r="H27" s="48">
        <v>0</v>
      </c>
      <c r="I27" s="48">
        <v>0</v>
      </c>
      <c r="J27" s="48">
        <v>0</v>
      </c>
      <c r="K27" s="48" t="s">
        <v>17</v>
      </c>
      <c r="L27" s="48" t="s">
        <v>19</v>
      </c>
      <c r="M27" s="48"/>
    </row>
    <row r="28" s="44" customFormat="1" ht="28" customHeight="1" spans="1:13">
      <c r="A28" s="48">
        <v>25</v>
      </c>
      <c r="B28" s="48" t="s">
        <v>15</v>
      </c>
      <c r="C28" s="48" t="s">
        <v>16</v>
      </c>
      <c r="D28" s="49" t="str">
        <f>"陈江明"</f>
        <v>陈江明</v>
      </c>
      <c r="E28" s="48">
        <v>0</v>
      </c>
      <c r="F28" s="48">
        <v>0</v>
      </c>
      <c r="G28" s="48">
        <v>0</v>
      </c>
      <c r="H28" s="48">
        <v>0</v>
      </c>
      <c r="I28" s="48">
        <v>0</v>
      </c>
      <c r="J28" s="48">
        <v>0</v>
      </c>
      <c r="K28" s="48" t="s">
        <v>17</v>
      </c>
      <c r="L28" s="48" t="s">
        <v>19</v>
      </c>
      <c r="M28" s="48"/>
    </row>
    <row r="29" s="44" customFormat="1" ht="28" customHeight="1" spans="1:13">
      <c r="A29" s="48">
        <v>26</v>
      </c>
      <c r="B29" s="48" t="s">
        <v>15</v>
      </c>
      <c r="C29" s="48" t="s">
        <v>16</v>
      </c>
      <c r="D29" s="48" t="str">
        <f>"米合日古丽·肖开提"</f>
        <v>米合日古丽·肖开提</v>
      </c>
      <c r="E29" s="48">
        <v>0</v>
      </c>
      <c r="F29" s="48">
        <v>0</v>
      </c>
      <c r="G29" s="48">
        <v>0</v>
      </c>
      <c r="H29" s="48">
        <v>0</v>
      </c>
      <c r="I29" s="48">
        <v>0</v>
      </c>
      <c r="J29" s="48">
        <v>0</v>
      </c>
      <c r="K29" s="48" t="s">
        <v>17</v>
      </c>
      <c r="L29" s="48" t="s">
        <v>19</v>
      </c>
      <c r="M29" s="48"/>
    </row>
    <row r="30" s="44" customFormat="1" ht="28" customHeight="1" spans="1:13">
      <c r="A30" s="48">
        <v>27</v>
      </c>
      <c r="B30" s="48" t="s">
        <v>15</v>
      </c>
      <c r="C30" s="48" t="s">
        <v>16</v>
      </c>
      <c r="D30" s="49" t="str">
        <f>"张雨洁"</f>
        <v>张雨洁</v>
      </c>
      <c r="E30" s="48">
        <v>0</v>
      </c>
      <c r="F30" s="48">
        <v>0</v>
      </c>
      <c r="G30" s="48">
        <v>0</v>
      </c>
      <c r="H30" s="48">
        <v>0</v>
      </c>
      <c r="I30" s="48">
        <v>0</v>
      </c>
      <c r="J30" s="48">
        <v>0</v>
      </c>
      <c r="K30" s="48" t="s">
        <v>17</v>
      </c>
      <c r="L30" s="48" t="s">
        <v>19</v>
      </c>
      <c r="M30" s="48"/>
    </row>
    <row r="31" s="44" customFormat="1" ht="28" customHeight="1" spans="1:13">
      <c r="A31" s="48">
        <v>28</v>
      </c>
      <c r="B31" s="48" t="s">
        <v>15</v>
      </c>
      <c r="C31" s="48" t="s">
        <v>16</v>
      </c>
      <c r="D31" s="49" t="str">
        <f>"张学芝"</f>
        <v>张学芝</v>
      </c>
      <c r="E31" s="48">
        <v>0</v>
      </c>
      <c r="F31" s="48">
        <v>0</v>
      </c>
      <c r="G31" s="48">
        <v>0</v>
      </c>
      <c r="H31" s="48">
        <v>0</v>
      </c>
      <c r="I31" s="48">
        <v>0</v>
      </c>
      <c r="J31" s="48">
        <v>0</v>
      </c>
      <c r="K31" s="48" t="s">
        <v>17</v>
      </c>
      <c r="L31" s="48" t="s">
        <v>19</v>
      </c>
      <c r="M31" s="48"/>
    </row>
    <row r="32" s="44" customFormat="1" ht="28" customHeight="1" spans="1:13">
      <c r="A32" s="48">
        <v>29</v>
      </c>
      <c r="B32" s="48" t="s">
        <v>15</v>
      </c>
      <c r="C32" s="48" t="s">
        <v>16</v>
      </c>
      <c r="D32" s="49" t="str">
        <f>"赵永辉"</f>
        <v>赵永辉</v>
      </c>
      <c r="E32" s="48">
        <v>0</v>
      </c>
      <c r="F32" s="48">
        <v>0</v>
      </c>
      <c r="G32" s="48">
        <v>0</v>
      </c>
      <c r="H32" s="48">
        <v>0</v>
      </c>
      <c r="I32" s="48">
        <v>0</v>
      </c>
      <c r="J32" s="48">
        <v>0</v>
      </c>
      <c r="K32" s="48" t="s">
        <v>17</v>
      </c>
      <c r="L32" s="48" t="s">
        <v>19</v>
      </c>
      <c r="M32" s="48"/>
    </row>
    <row r="33" ht="33" customHeight="1"/>
  </sheetData>
  <sheetProtection password="9F33" sheet="1" objects="1"/>
  <sortState ref="D3:K31">
    <sortCondition ref="J3:J31" descending="1"/>
  </sortState>
  <mergeCells count="10">
    <mergeCell ref="A1:M1"/>
    <mergeCell ref="E2:I2"/>
    <mergeCell ref="A2:A3"/>
    <mergeCell ref="B2:B3"/>
    <mergeCell ref="C2:C3"/>
    <mergeCell ref="D2:D3"/>
    <mergeCell ref="J2:J3"/>
    <mergeCell ref="K2:K3"/>
    <mergeCell ref="L2:L3"/>
    <mergeCell ref="M2:M3"/>
  </mergeCells>
  <pageMargins left="0.700694444444445" right="0.700694444444445" top="0.751388888888889" bottom="0.751388888888889" header="0.297916666666667" footer="0.297916666666667"/>
  <pageSetup paperSize="9" scale="75"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4"/>
  <sheetViews>
    <sheetView workbookViewId="0">
      <selection activeCell="G3" sqref="G3"/>
    </sheetView>
  </sheetViews>
  <sheetFormatPr defaultColWidth="8.70833333333333" defaultRowHeight="13.5"/>
  <cols>
    <col min="1" max="1" width="5.625" customWidth="1"/>
    <col min="2" max="2" width="13.75" customWidth="1"/>
    <col min="3" max="3" width="20.375" customWidth="1"/>
    <col min="4" max="4" width="7.375" style="4" customWidth="1"/>
    <col min="5" max="5" width="20.5416666666667" customWidth="1"/>
    <col min="6" max="6" width="16.5" customWidth="1"/>
    <col min="7" max="7" width="17.5" customWidth="1"/>
    <col min="8" max="8" width="17.875" customWidth="1"/>
    <col min="9" max="9" width="18.625" customWidth="1"/>
    <col min="10" max="12" width="9.625" customWidth="1"/>
    <col min="13" max="13" width="6.625" customWidth="1"/>
  </cols>
  <sheetData>
    <row r="1" s="1" customFormat="1" ht="85" customHeight="1" spans="1:13">
      <c r="A1" s="5" t="s">
        <v>0</v>
      </c>
      <c r="B1" s="5"/>
      <c r="C1" s="5"/>
      <c r="D1" s="5"/>
      <c r="E1" s="5"/>
      <c r="F1" s="5"/>
      <c r="G1" s="5"/>
      <c r="H1" s="5"/>
      <c r="I1" s="5"/>
      <c r="J1" s="5"/>
      <c r="K1" s="5"/>
      <c r="L1" s="5"/>
      <c r="M1" s="5"/>
    </row>
    <row r="2" s="2" customFormat="1" ht="33" customHeight="1" spans="1:13">
      <c r="A2" s="6" t="s">
        <v>1</v>
      </c>
      <c r="B2" s="6" t="s">
        <v>2</v>
      </c>
      <c r="C2" s="6" t="s">
        <v>3</v>
      </c>
      <c r="D2" s="6" t="s">
        <v>4</v>
      </c>
      <c r="E2" s="6" t="s">
        <v>5</v>
      </c>
      <c r="F2" s="6"/>
      <c r="G2" s="6"/>
      <c r="H2" s="6"/>
      <c r="I2" s="6"/>
      <c r="J2" s="7" t="s">
        <v>20</v>
      </c>
      <c r="K2" s="7" t="s">
        <v>7</v>
      </c>
      <c r="L2" s="7" t="s">
        <v>8</v>
      </c>
      <c r="M2" s="6" t="s">
        <v>9</v>
      </c>
    </row>
    <row r="3" s="3" customFormat="1" ht="114" spans="1:13">
      <c r="A3" s="6"/>
      <c r="B3" s="6"/>
      <c r="C3" s="6"/>
      <c r="D3" s="6"/>
      <c r="E3" s="7" t="s">
        <v>10</v>
      </c>
      <c r="F3" s="7" t="s">
        <v>59</v>
      </c>
      <c r="G3" s="13" t="s">
        <v>60</v>
      </c>
      <c r="H3" s="7" t="s">
        <v>61</v>
      </c>
      <c r="I3" s="7" t="s">
        <v>62</v>
      </c>
      <c r="J3" s="7"/>
      <c r="K3" s="7"/>
      <c r="L3" s="7"/>
      <c r="M3" s="6"/>
    </row>
    <row r="4" s="2" customFormat="1" ht="31.2" customHeight="1" spans="1:13">
      <c r="A4" s="8">
        <v>1</v>
      </c>
      <c r="B4" s="8" t="s">
        <v>63</v>
      </c>
      <c r="C4" s="8" t="s">
        <v>64</v>
      </c>
      <c r="D4" s="8" t="s">
        <v>65</v>
      </c>
      <c r="E4" s="9">
        <v>3</v>
      </c>
      <c r="F4" s="9">
        <v>5</v>
      </c>
      <c r="G4" s="9">
        <v>3</v>
      </c>
      <c r="H4" s="9">
        <v>3.5</v>
      </c>
      <c r="I4" s="9">
        <v>0.5</v>
      </c>
      <c r="J4" s="9">
        <v>15</v>
      </c>
      <c r="K4" s="9" t="s">
        <v>17</v>
      </c>
      <c r="L4" s="9" t="s">
        <v>18</v>
      </c>
      <c r="M4" s="8"/>
    </row>
    <row r="5" s="12" customFormat="1" ht="25" customHeight="1" spans="1:13">
      <c r="A5" s="8">
        <v>2</v>
      </c>
      <c r="B5" s="8" t="s">
        <v>63</v>
      </c>
      <c r="C5" s="8" t="s">
        <v>64</v>
      </c>
      <c r="D5" s="8" t="str">
        <f>"张清"</f>
        <v>张清</v>
      </c>
      <c r="E5" s="8">
        <v>0</v>
      </c>
      <c r="F5" s="8">
        <v>0</v>
      </c>
      <c r="G5" s="8">
        <v>1</v>
      </c>
      <c r="H5" s="8">
        <v>4.5</v>
      </c>
      <c r="I5" s="8">
        <v>0</v>
      </c>
      <c r="J5" s="8">
        <v>5.5</v>
      </c>
      <c r="K5" s="9" t="s">
        <v>17</v>
      </c>
      <c r="L5" s="9" t="s">
        <v>18</v>
      </c>
      <c r="M5" s="8"/>
    </row>
    <row r="6" s="12" customFormat="1" ht="25" customHeight="1" spans="1:13">
      <c r="A6" s="8">
        <v>3</v>
      </c>
      <c r="B6" s="8" t="s">
        <v>63</v>
      </c>
      <c r="C6" s="8" t="s">
        <v>64</v>
      </c>
      <c r="D6" s="8" t="str">
        <f>"蔡金宇"</f>
        <v>蔡金宇</v>
      </c>
      <c r="E6" s="8">
        <v>0</v>
      </c>
      <c r="F6" s="8">
        <v>0</v>
      </c>
      <c r="G6" s="8">
        <v>3</v>
      </c>
      <c r="H6" s="8">
        <v>1.5</v>
      </c>
      <c r="I6" s="8">
        <v>0.5</v>
      </c>
      <c r="J6" s="8">
        <v>5</v>
      </c>
      <c r="K6" s="9" t="s">
        <v>17</v>
      </c>
      <c r="L6" s="9" t="s">
        <v>18</v>
      </c>
      <c r="M6" s="8"/>
    </row>
    <row r="7" s="12" customFormat="1" ht="25" customHeight="1" spans="1:13">
      <c r="A7" s="8">
        <v>4</v>
      </c>
      <c r="B7" s="8" t="s">
        <v>63</v>
      </c>
      <c r="C7" s="8" t="s">
        <v>64</v>
      </c>
      <c r="D7" s="8" t="str">
        <f>"吉才望"</f>
        <v>吉才望</v>
      </c>
      <c r="E7" s="8">
        <v>0</v>
      </c>
      <c r="F7" s="8">
        <v>0</v>
      </c>
      <c r="G7" s="8">
        <v>2</v>
      </c>
      <c r="H7" s="8">
        <v>1.5</v>
      </c>
      <c r="I7" s="8">
        <v>0</v>
      </c>
      <c r="J7" s="8">
        <v>3.5</v>
      </c>
      <c r="K7" s="9" t="s">
        <v>17</v>
      </c>
      <c r="L7" s="9" t="s">
        <v>18</v>
      </c>
      <c r="M7" s="8"/>
    </row>
    <row r="8" s="12" customFormat="1" ht="25" customHeight="1" spans="1:13">
      <c r="A8" s="8">
        <v>5</v>
      </c>
      <c r="B8" s="8" t="s">
        <v>63</v>
      </c>
      <c r="C8" s="8" t="s">
        <v>64</v>
      </c>
      <c r="D8" s="8" t="str">
        <f>"陈少娜"</f>
        <v>陈少娜</v>
      </c>
      <c r="E8" s="8">
        <v>0</v>
      </c>
      <c r="F8" s="8">
        <v>0</v>
      </c>
      <c r="G8" s="8">
        <v>2</v>
      </c>
      <c r="H8" s="8">
        <v>1</v>
      </c>
      <c r="I8" s="8">
        <v>0</v>
      </c>
      <c r="J8" s="8">
        <v>3</v>
      </c>
      <c r="K8" s="9" t="s">
        <v>17</v>
      </c>
      <c r="L8" s="9" t="s">
        <v>18</v>
      </c>
      <c r="M8" s="8"/>
    </row>
    <row r="9" s="12" customFormat="1" ht="25" customHeight="1" spans="1:13">
      <c r="A9" s="8">
        <v>6</v>
      </c>
      <c r="B9" s="8" t="s">
        <v>63</v>
      </c>
      <c r="C9" s="8" t="s">
        <v>64</v>
      </c>
      <c r="D9" s="8" t="str">
        <f>"王阳"</f>
        <v>王阳</v>
      </c>
      <c r="E9" s="8">
        <v>1</v>
      </c>
      <c r="F9" s="8">
        <v>0</v>
      </c>
      <c r="G9" s="8">
        <v>1</v>
      </c>
      <c r="H9" s="8">
        <v>0.5</v>
      </c>
      <c r="I9" s="8">
        <v>0</v>
      </c>
      <c r="J9" s="8">
        <v>2.5</v>
      </c>
      <c r="K9" s="9" t="s">
        <v>17</v>
      </c>
      <c r="L9" s="9" t="s">
        <v>18</v>
      </c>
      <c r="M9" s="8"/>
    </row>
    <row r="10" s="12" customFormat="1" ht="25" customHeight="1" spans="1:13">
      <c r="A10" s="8">
        <v>7</v>
      </c>
      <c r="B10" s="8" t="s">
        <v>63</v>
      </c>
      <c r="C10" s="8" t="s">
        <v>64</v>
      </c>
      <c r="D10" s="8" t="str">
        <f>"王康伟"</f>
        <v>王康伟</v>
      </c>
      <c r="E10" s="8">
        <v>0</v>
      </c>
      <c r="F10" s="8">
        <v>0</v>
      </c>
      <c r="G10" s="8">
        <v>1</v>
      </c>
      <c r="H10" s="8">
        <v>1</v>
      </c>
      <c r="I10" s="8">
        <v>0</v>
      </c>
      <c r="J10" s="8">
        <v>2</v>
      </c>
      <c r="K10" s="9" t="s">
        <v>17</v>
      </c>
      <c r="L10" s="9" t="s">
        <v>18</v>
      </c>
      <c r="M10" s="8"/>
    </row>
    <row r="11" s="12" customFormat="1" ht="25" customHeight="1" spans="1:13">
      <c r="A11" s="8">
        <v>8</v>
      </c>
      <c r="B11" s="8" t="s">
        <v>63</v>
      </c>
      <c r="C11" s="8" t="s">
        <v>64</v>
      </c>
      <c r="D11" s="8" t="str">
        <f>"黄伟峰"</f>
        <v>黄伟峰</v>
      </c>
      <c r="E11" s="8">
        <v>0</v>
      </c>
      <c r="F11" s="8">
        <v>0</v>
      </c>
      <c r="G11" s="8">
        <v>1</v>
      </c>
      <c r="H11" s="8">
        <v>0.5</v>
      </c>
      <c r="I11" s="8">
        <v>0</v>
      </c>
      <c r="J11" s="8">
        <v>1.5</v>
      </c>
      <c r="K11" s="9" t="s">
        <v>17</v>
      </c>
      <c r="L11" s="9" t="s">
        <v>18</v>
      </c>
      <c r="M11" s="8"/>
    </row>
    <row r="12" s="12" customFormat="1" ht="25" customHeight="1" spans="1:13">
      <c r="A12" s="8">
        <v>9</v>
      </c>
      <c r="B12" s="8" t="s">
        <v>63</v>
      </c>
      <c r="C12" s="8" t="s">
        <v>64</v>
      </c>
      <c r="D12" s="8" t="str">
        <f>"庞彦婷"</f>
        <v>庞彦婷</v>
      </c>
      <c r="E12" s="8">
        <v>0</v>
      </c>
      <c r="F12" s="8">
        <v>0</v>
      </c>
      <c r="G12" s="8">
        <v>1</v>
      </c>
      <c r="H12" s="8">
        <v>0.5</v>
      </c>
      <c r="I12" s="8">
        <v>0</v>
      </c>
      <c r="J12" s="8">
        <v>1.5</v>
      </c>
      <c r="K12" s="9" t="s">
        <v>17</v>
      </c>
      <c r="L12" s="9" t="s">
        <v>18</v>
      </c>
      <c r="M12" s="8"/>
    </row>
    <row r="13" s="12" customFormat="1" ht="25" customHeight="1" spans="1:13">
      <c r="A13" s="8">
        <v>10</v>
      </c>
      <c r="B13" s="8" t="s">
        <v>63</v>
      </c>
      <c r="C13" s="8" t="s">
        <v>64</v>
      </c>
      <c r="D13" s="8" t="str">
        <f>"杜晓丽"</f>
        <v>杜晓丽</v>
      </c>
      <c r="E13" s="8">
        <v>0</v>
      </c>
      <c r="F13" s="8">
        <v>0</v>
      </c>
      <c r="G13" s="8">
        <v>1</v>
      </c>
      <c r="H13" s="8">
        <v>0.5</v>
      </c>
      <c r="I13" s="8">
        <v>0</v>
      </c>
      <c r="J13" s="8">
        <v>1.5</v>
      </c>
      <c r="K13" s="9" t="s">
        <v>17</v>
      </c>
      <c r="L13" s="9" t="s">
        <v>18</v>
      </c>
      <c r="M13" s="8"/>
    </row>
    <row r="14" s="12" customFormat="1" ht="25" customHeight="1" spans="1:13">
      <c r="A14" s="8">
        <v>11</v>
      </c>
      <c r="B14" s="8" t="s">
        <v>63</v>
      </c>
      <c r="C14" s="8" t="s">
        <v>64</v>
      </c>
      <c r="D14" s="8" t="str">
        <f>"邓欢欢"</f>
        <v>邓欢欢</v>
      </c>
      <c r="E14" s="8">
        <v>1</v>
      </c>
      <c r="F14" s="8">
        <v>0</v>
      </c>
      <c r="G14" s="8">
        <v>0</v>
      </c>
      <c r="H14" s="8">
        <v>0</v>
      </c>
      <c r="I14" s="8">
        <v>0</v>
      </c>
      <c r="J14" s="8">
        <v>1</v>
      </c>
      <c r="K14" s="9" t="s">
        <v>17</v>
      </c>
      <c r="L14" s="9" t="s">
        <v>18</v>
      </c>
      <c r="M14" s="8"/>
    </row>
    <row r="15" s="12" customFormat="1" ht="25" customHeight="1" spans="1:13">
      <c r="A15" s="8">
        <v>12</v>
      </c>
      <c r="B15" s="8" t="s">
        <v>63</v>
      </c>
      <c r="C15" s="8" t="s">
        <v>64</v>
      </c>
      <c r="D15" s="8" t="str">
        <f>"廖承业"</f>
        <v>廖承业</v>
      </c>
      <c r="E15" s="8">
        <v>0</v>
      </c>
      <c r="F15" s="8">
        <v>0</v>
      </c>
      <c r="G15" s="8">
        <v>0</v>
      </c>
      <c r="H15" s="8">
        <v>0.5</v>
      </c>
      <c r="I15" s="8">
        <v>0</v>
      </c>
      <c r="J15" s="8">
        <v>0.5</v>
      </c>
      <c r="K15" s="9" t="s">
        <v>17</v>
      </c>
      <c r="L15" s="9" t="s">
        <v>18</v>
      </c>
      <c r="M15" s="8"/>
    </row>
    <row r="16" s="12" customFormat="1" ht="25" customHeight="1" spans="1:13">
      <c r="A16" s="8">
        <v>13</v>
      </c>
      <c r="B16" s="8" t="s">
        <v>63</v>
      </c>
      <c r="C16" s="8" t="s">
        <v>64</v>
      </c>
      <c r="D16" s="8" t="str">
        <f>"陈舒怡"</f>
        <v>陈舒怡</v>
      </c>
      <c r="E16" s="8">
        <v>0</v>
      </c>
      <c r="F16" s="8">
        <v>0</v>
      </c>
      <c r="G16" s="8">
        <v>0</v>
      </c>
      <c r="H16" s="8">
        <v>0.5</v>
      </c>
      <c r="I16" s="8">
        <v>0</v>
      </c>
      <c r="J16" s="8">
        <v>0.5</v>
      </c>
      <c r="K16" s="9" t="s">
        <v>17</v>
      </c>
      <c r="L16" s="9" t="s">
        <v>18</v>
      </c>
      <c r="M16" s="8"/>
    </row>
    <row r="17" s="12" customFormat="1" ht="25" customHeight="1" spans="1:13">
      <c r="A17" s="8">
        <v>14</v>
      </c>
      <c r="B17" s="8" t="s">
        <v>63</v>
      </c>
      <c r="C17" s="8" t="s">
        <v>64</v>
      </c>
      <c r="D17" s="8" t="str">
        <f>"许碗海"</f>
        <v>许碗海</v>
      </c>
      <c r="E17" s="8">
        <v>0</v>
      </c>
      <c r="F17" s="8">
        <v>0</v>
      </c>
      <c r="G17" s="8">
        <v>0</v>
      </c>
      <c r="H17" s="8">
        <v>0.5</v>
      </c>
      <c r="I17" s="8">
        <v>0</v>
      </c>
      <c r="J17" s="8">
        <v>0.5</v>
      </c>
      <c r="K17" s="9" t="s">
        <v>17</v>
      </c>
      <c r="L17" s="9" t="s">
        <v>18</v>
      </c>
      <c r="M17" s="8"/>
    </row>
    <row r="18" s="12" customFormat="1" ht="25" customHeight="1" spans="1:13">
      <c r="A18" s="8">
        <v>15</v>
      </c>
      <c r="B18" s="8" t="s">
        <v>63</v>
      </c>
      <c r="C18" s="8" t="s">
        <v>64</v>
      </c>
      <c r="D18" s="8" t="str">
        <f>"王翔征"</f>
        <v>王翔征</v>
      </c>
      <c r="E18" s="8">
        <v>0</v>
      </c>
      <c r="F18" s="8">
        <v>0</v>
      </c>
      <c r="G18" s="8">
        <v>0</v>
      </c>
      <c r="H18" s="8">
        <v>0</v>
      </c>
      <c r="I18" s="8">
        <v>0</v>
      </c>
      <c r="J18" s="8">
        <v>0</v>
      </c>
      <c r="K18" s="9" t="s">
        <v>17</v>
      </c>
      <c r="L18" s="8" t="s">
        <v>19</v>
      </c>
      <c r="M18" s="8"/>
    </row>
    <row r="19" s="12" customFormat="1" ht="25" customHeight="1" spans="1:13">
      <c r="A19" s="8">
        <v>16</v>
      </c>
      <c r="B19" s="8" t="s">
        <v>63</v>
      </c>
      <c r="C19" s="8" t="s">
        <v>64</v>
      </c>
      <c r="D19" s="8" t="str">
        <f>"赵洋洋"</f>
        <v>赵洋洋</v>
      </c>
      <c r="E19" s="8">
        <v>0</v>
      </c>
      <c r="F19" s="8">
        <v>0</v>
      </c>
      <c r="G19" s="8">
        <v>0</v>
      </c>
      <c r="H19" s="8">
        <v>0</v>
      </c>
      <c r="I19" s="8">
        <v>0</v>
      </c>
      <c r="J19" s="8">
        <v>0</v>
      </c>
      <c r="K19" s="9" t="s">
        <v>17</v>
      </c>
      <c r="L19" s="8" t="s">
        <v>19</v>
      </c>
      <c r="M19" s="8"/>
    </row>
    <row r="20" s="12" customFormat="1" ht="25" customHeight="1" spans="1:13">
      <c r="A20" s="8">
        <v>17</v>
      </c>
      <c r="B20" s="8" t="s">
        <v>63</v>
      </c>
      <c r="C20" s="8" t="s">
        <v>64</v>
      </c>
      <c r="D20" s="8" t="str">
        <f>"陈佳慧"</f>
        <v>陈佳慧</v>
      </c>
      <c r="E20" s="8">
        <v>0</v>
      </c>
      <c r="F20" s="8">
        <v>0</v>
      </c>
      <c r="G20" s="8">
        <v>0</v>
      </c>
      <c r="H20" s="8">
        <v>0</v>
      </c>
      <c r="I20" s="8">
        <v>0</v>
      </c>
      <c r="J20" s="8">
        <v>0</v>
      </c>
      <c r="K20" s="9" t="s">
        <v>17</v>
      </c>
      <c r="L20" s="8" t="s">
        <v>19</v>
      </c>
      <c r="M20" s="8"/>
    </row>
    <row r="21" s="12" customFormat="1" ht="25" customHeight="1" spans="1:13">
      <c r="A21" s="8">
        <v>18</v>
      </c>
      <c r="B21" s="8" t="s">
        <v>63</v>
      </c>
      <c r="C21" s="8" t="s">
        <v>64</v>
      </c>
      <c r="D21" s="8" t="str">
        <f>"王甜甜"</f>
        <v>王甜甜</v>
      </c>
      <c r="E21" s="8">
        <v>0</v>
      </c>
      <c r="F21" s="8">
        <v>0</v>
      </c>
      <c r="G21" s="8">
        <v>0</v>
      </c>
      <c r="H21" s="8">
        <v>0</v>
      </c>
      <c r="I21" s="8">
        <v>0</v>
      </c>
      <c r="J21" s="8">
        <v>0</v>
      </c>
      <c r="K21" s="9" t="s">
        <v>17</v>
      </c>
      <c r="L21" s="8" t="s">
        <v>19</v>
      </c>
      <c r="M21" s="8"/>
    </row>
    <row r="22" s="12" customFormat="1" ht="25" customHeight="1" spans="1:13">
      <c r="A22" s="8">
        <v>19</v>
      </c>
      <c r="B22" s="8" t="s">
        <v>63</v>
      </c>
      <c r="C22" s="8" t="s">
        <v>64</v>
      </c>
      <c r="D22" s="8" t="str">
        <f>"李雅师"</f>
        <v>李雅师</v>
      </c>
      <c r="E22" s="8">
        <v>0</v>
      </c>
      <c r="F22" s="8">
        <v>0</v>
      </c>
      <c r="G22" s="8">
        <v>0</v>
      </c>
      <c r="H22" s="8">
        <v>0</v>
      </c>
      <c r="I22" s="8">
        <v>0</v>
      </c>
      <c r="J22" s="8">
        <v>0</v>
      </c>
      <c r="K22" s="9" t="s">
        <v>17</v>
      </c>
      <c r="L22" s="8" t="s">
        <v>19</v>
      </c>
      <c r="M22" s="8"/>
    </row>
    <row r="23" s="12" customFormat="1" ht="25" customHeight="1" spans="1:13">
      <c r="A23" s="8">
        <v>20</v>
      </c>
      <c r="B23" s="8" t="s">
        <v>63</v>
      </c>
      <c r="C23" s="8" t="s">
        <v>64</v>
      </c>
      <c r="D23" s="8" t="str">
        <f>"韩承哲"</f>
        <v>韩承哲</v>
      </c>
      <c r="E23" s="8">
        <v>0</v>
      </c>
      <c r="F23" s="8">
        <v>0</v>
      </c>
      <c r="G23" s="8">
        <v>0</v>
      </c>
      <c r="H23" s="8">
        <v>0</v>
      </c>
      <c r="I23" s="8">
        <v>0</v>
      </c>
      <c r="J23" s="8">
        <v>0</v>
      </c>
      <c r="K23" s="9" t="s">
        <v>17</v>
      </c>
      <c r="L23" s="8" t="s">
        <v>19</v>
      </c>
      <c r="M23" s="8"/>
    </row>
    <row r="24" s="12" customFormat="1" ht="25" customHeight="1" spans="1:13">
      <c r="A24" s="8">
        <v>21</v>
      </c>
      <c r="B24" s="8" t="s">
        <v>63</v>
      </c>
      <c r="C24" s="8" t="s">
        <v>64</v>
      </c>
      <c r="D24" s="8" t="str">
        <f>"陈于寿"</f>
        <v>陈于寿</v>
      </c>
      <c r="E24" s="8">
        <v>0</v>
      </c>
      <c r="F24" s="8">
        <v>0</v>
      </c>
      <c r="G24" s="8">
        <v>0</v>
      </c>
      <c r="H24" s="8">
        <v>0</v>
      </c>
      <c r="I24" s="8">
        <v>0</v>
      </c>
      <c r="J24" s="8">
        <v>0</v>
      </c>
      <c r="K24" s="9" t="s">
        <v>17</v>
      </c>
      <c r="L24" s="8" t="s">
        <v>19</v>
      </c>
      <c r="M24" s="8"/>
    </row>
  </sheetData>
  <sheetProtection password="9F33" sheet="1" objects="1"/>
  <sortState ref="D3:E23">
    <sortCondition ref="E3:E23" descending="1"/>
  </sortState>
  <mergeCells count="10">
    <mergeCell ref="A1:M1"/>
    <mergeCell ref="E2:I2"/>
    <mergeCell ref="A2:A3"/>
    <mergeCell ref="B2:B3"/>
    <mergeCell ref="C2:C3"/>
    <mergeCell ref="D2:D3"/>
    <mergeCell ref="J2:J3"/>
    <mergeCell ref="K2:K3"/>
    <mergeCell ref="L2:L3"/>
    <mergeCell ref="M2:M3"/>
  </mergeCells>
  <pageMargins left="0.700694444444445" right="0.700694444444445" top="0.751388888888889" bottom="0.751388888888889" header="0.297916666666667" footer="0.297916666666667"/>
  <pageSetup paperSize="9" orientation="portrait"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6"/>
  <sheetViews>
    <sheetView workbookViewId="0">
      <selection activeCell="G4" sqref="G4"/>
    </sheetView>
  </sheetViews>
  <sheetFormatPr defaultColWidth="8.70833333333333" defaultRowHeight="13.5"/>
  <cols>
    <col min="1" max="1" width="4.375" customWidth="1"/>
    <col min="2" max="2" width="18.25" customWidth="1"/>
    <col min="3" max="3" width="20.375" customWidth="1"/>
    <col min="4" max="4" width="9.625" style="4" customWidth="1"/>
    <col min="5" max="9" width="16.625" customWidth="1"/>
    <col min="10" max="12" width="9.625" customWidth="1"/>
    <col min="13" max="13" width="6.625" customWidth="1"/>
  </cols>
  <sheetData>
    <row r="1" s="1" customFormat="1" ht="85" customHeight="1" spans="1:13">
      <c r="A1" s="5" t="s">
        <v>66</v>
      </c>
      <c r="B1" s="5"/>
      <c r="C1" s="5"/>
      <c r="D1" s="5"/>
      <c r="E1" s="5"/>
      <c r="F1" s="5"/>
      <c r="G1" s="5"/>
      <c r="H1" s="5"/>
      <c r="I1" s="5"/>
      <c r="J1" s="5"/>
      <c r="K1" s="5"/>
      <c r="L1" s="5"/>
      <c r="M1" s="5"/>
    </row>
    <row r="2" s="2" customFormat="1" ht="28" customHeight="1" spans="1:13">
      <c r="A2" s="6" t="s">
        <v>1</v>
      </c>
      <c r="B2" s="6" t="s">
        <v>2</v>
      </c>
      <c r="C2" s="6" t="s">
        <v>3</v>
      </c>
      <c r="D2" s="6" t="s">
        <v>4</v>
      </c>
      <c r="E2" s="6" t="s">
        <v>5</v>
      </c>
      <c r="F2" s="6"/>
      <c r="G2" s="6"/>
      <c r="H2" s="6"/>
      <c r="I2" s="6"/>
      <c r="J2" s="7" t="s">
        <v>20</v>
      </c>
      <c r="K2" s="7" t="s">
        <v>7</v>
      </c>
      <c r="L2" s="7" t="s">
        <v>8</v>
      </c>
      <c r="M2" s="6" t="s">
        <v>9</v>
      </c>
    </row>
    <row r="3" s="3" customFormat="1" ht="156" customHeight="1" spans="1:13">
      <c r="A3" s="6"/>
      <c r="B3" s="6"/>
      <c r="C3" s="6"/>
      <c r="D3" s="6"/>
      <c r="E3" s="7" t="s">
        <v>10</v>
      </c>
      <c r="F3" s="7" t="s">
        <v>67</v>
      </c>
      <c r="G3" s="7" t="s">
        <v>68</v>
      </c>
      <c r="H3" s="7" t="s">
        <v>61</v>
      </c>
      <c r="I3" s="7" t="s">
        <v>69</v>
      </c>
      <c r="J3" s="7"/>
      <c r="K3" s="7"/>
      <c r="L3" s="7"/>
      <c r="M3" s="6"/>
    </row>
    <row r="4" s="3" customFormat="1" ht="28" customHeight="1" spans="1:13">
      <c r="A4" s="8">
        <v>1</v>
      </c>
      <c r="B4" s="8" t="s">
        <v>70</v>
      </c>
      <c r="C4" s="8" t="s">
        <v>64</v>
      </c>
      <c r="D4" s="8" t="s">
        <v>71</v>
      </c>
      <c r="E4" s="9">
        <v>1</v>
      </c>
      <c r="F4" s="9">
        <v>0</v>
      </c>
      <c r="G4" s="9">
        <v>4</v>
      </c>
      <c r="H4" s="9">
        <v>3</v>
      </c>
      <c r="I4" s="9">
        <v>1</v>
      </c>
      <c r="J4" s="9">
        <v>9</v>
      </c>
      <c r="K4" s="9" t="s">
        <v>17</v>
      </c>
      <c r="L4" s="9" t="s">
        <v>18</v>
      </c>
      <c r="M4" s="6"/>
    </row>
    <row r="5" s="1" customFormat="1" ht="28" customHeight="1" spans="1:13">
      <c r="A5" s="8">
        <v>2</v>
      </c>
      <c r="B5" s="8" t="s">
        <v>70</v>
      </c>
      <c r="C5" s="8" t="s">
        <v>64</v>
      </c>
      <c r="D5" s="8" t="str">
        <f>"李德清"</f>
        <v>李德清</v>
      </c>
      <c r="E5" s="10">
        <v>0</v>
      </c>
      <c r="F5" s="9">
        <v>0</v>
      </c>
      <c r="G5" s="8">
        <v>3</v>
      </c>
      <c r="H5" s="8">
        <v>3</v>
      </c>
      <c r="I5" s="8">
        <v>0</v>
      </c>
      <c r="J5" s="8">
        <v>6</v>
      </c>
      <c r="K5" s="9" t="s">
        <v>17</v>
      </c>
      <c r="L5" s="9" t="s">
        <v>18</v>
      </c>
      <c r="M5" s="8"/>
    </row>
    <row r="6" s="1" customFormat="1" ht="28" customHeight="1" spans="1:13">
      <c r="A6" s="8">
        <v>3</v>
      </c>
      <c r="B6" s="8" t="s">
        <v>70</v>
      </c>
      <c r="C6" s="8" t="s">
        <v>64</v>
      </c>
      <c r="D6" s="8" t="str">
        <f>"刘伯映"</f>
        <v>刘伯映</v>
      </c>
      <c r="E6" s="10">
        <v>0</v>
      </c>
      <c r="F6" s="9">
        <v>0</v>
      </c>
      <c r="G6" s="8">
        <v>2</v>
      </c>
      <c r="H6" s="8">
        <v>0</v>
      </c>
      <c r="I6" s="8">
        <v>0</v>
      </c>
      <c r="J6" s="8">
        <v>2</v>
      </c>
      <c r="K6" s="9" t="s">
        <v>17</v>
      </c>
      <c r="L6" s="9" t="s">
        <v>18</v>
      </c>
      <c r="M6" s="8"/>
    </row>
    <row r="7" s="1" customFormat="1" ht="28" customHeight="1" spans="1:13">
      <c r="A7" s="8">
        <v>4</v>
      </c>
      <c r="B7" s="8" t="s">
        <v>70</v>
      </c>
      <c r="C7" s="8" t="s">
        <v>64</v>
      </c>
      <c r="D7" s="8" t="str">
        <f>"王子宜"</f>
        <v>王子宜</v>
      </c>
      <c r="E7" s="10">
        <v>0</v>
      </c>
      <c r="F7" s="9">
        <v>0</v>
      </c>
      <c r="G7" s="8">
        <v>1</v>
      </c>
      <c r="H7" s="8">
        <v>0.5</v>
      </c>
      <c r="I7" s="8">
        <v>0</v>
      </c>
      <c r="J7" s="8">
        <v>1.5</v>
      </c>
      <c r="K7" s="9" t="s">
        <v>17</v>
      </c>
      <c r="L7" s="9" t="s">
        <v>18</v>
      </c>
      <c r="M7" s="8"/>
    </row>
    <row r="8" s="1" customFormat="1" ht="28" customHeight="1" spans="1:13">
      <c r="A8" s="8">
        <v>5</v>
      </c>
      <c r="B8" s="8" t="s">
        <v>70</v>
      </c>
      <c r="C8" s="8" t="s">
        <v>64</v>
      </c>
      <c r="D8" s="8" t="str">
        <f>"陆积森"</f>
        <v>陆积森</v>
      </c>
      <c r="E8" s="10">
        <v>0</v>
      </c>
      <c r="F8" s="9">
        <v>0</v>
      </c>
      <c r="G8" s="8">
        <v>0</v>
      </c>
      <c r="H8" s="8">
        <v>0.5</v>
      </c>
      <c r="I8" s="8">
        <v>0</v>
      </c>
      <c r="J8" s="8">
        <v>0.5</v>
      </c>
      <c r="K8" s="9" t="s">
        <v>17</v>
      </c>
      <c r="L8" s="9" t="s">
        <v>18</v>
      </c>
      <c r="M8" s="8"/>
    </row>
    <row r="9" s="1" customFormat="1" ht="28" customHeight="1" spans="1:13">
      <c r="A9" s="8">
        <v>6</v>
      </c>
      <c r="B9" s="8" t="s">
        <v>70</v>
      </c>
      <c r="C9" s="8" t="s">
        <v>64</v>
      </c>
      <c r="D9" s="8" t="str">
        <f>"陈雅隽"</f>
        <v>陈雅隽</v>
      </c>
      <c r="E9" s="10">
        <v>0</v>
      </c>
      <c r="F9" s="9">
        <v>0</v>
      </c>
      <c r="G9" s="8">
        <v>0</v>
      </c>
      <c r="H9" s="8">
        <v>0.5</v>
      </c>
      <c r="I9" s="8">
        <v>0</v>
      </c>
      <c r="J9" s="8">
        <v>0.5</v>
      </c>
      <c r="K9" s="9" t="s">
        <v>17</v>
      </c>
      <c r="L9" s="9" t="s">
        <v>18</v>
      </c>
      <c r="M9" s="8"/>
    </row>
    <row r="10" spans="5:5">
      <c r="E10" s="11"/>
    </row>
    <row r="11" spans="5:5">
      <c r="E11" s="11"/>
    </row>
    <row r="12" spans="5:5">
      <c r="E12" s="11"/>
    </row>
    <row r="13" spans="5:5">
      <c r="E13" s="11"/>
    </row>
    <row r="14" spans="5:5">
      <c r="E14" s="11"/>
    </row>
    <row r="15" spans="5:5">
      <c r="E15" s="11"/>
    </row>
    <row r="16" spans="5:5">
      <c r="E16" s="11"/>
    </row>
  </sheetData>
  <sheetProtection password="9F33" sheet="1" objects="1"/>
  <sortState ref="D3:E8">
    <sortCondition ref="E3:E8" descending="1"/>
  </sortState>
  <mergeCells count="10">
    <mergeCell ref="A1:M1"/>
    <mergeCell ref="E2:I2"/>
    <mergeCell ref="A2:A3"/>
    <mergeCell ref="B2:B3"/>
    <mergeCell ref="C2:C3"/>
    <mergeCell ref="D2:D3"/>
    <mergeCell ref="J2:J3"/>
    <mergeCell ref="K2:K3"/>
    <mergeCell ref="L2:L3"/>
    <mergeCell ref="M2:M3"/>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87"/>
  <sheetViews>
    <sheetView topLeftCell="A82" workbookViewId="0">
      <selection activeCell="D4" sqref="D4:D15"/>
    </sheetView>
  </sheetViews>
  <sheetFormatPr defaultColWidth="8.70833333333333" defaultRowHeight="13.5"/>
  <cols>
    <col min="1" max="1" width="4.875" style="4" customWidth="1"/>
    <col min="2" max="3" width="24.875" style="4" customWidth="1"/>
    <col min="4" max="4" width="7.375" style="4" customWidth="1"/>
    <col min="5" max="11" width="16.625" style="28" customWidth="1"/>
    <col min="12" max="14" width="9.625" style="4" customWidth="1"/>
    <col min="15" max="15" width="6.625" style="4" customWidth="1"/>
  </cols>
  <sheetData>
    <row r="1" s="1" customFormat="1" ht="85" customHeight="1" spans="1:15">
      <c r="A1" s="36" t="s">
        <v>0</v>
      </c>
      <c r="B1" s="37"/>
      <c r="C1" s="37"/>
      <c r="D1" s="37"/>
      <c r="E1" s="36"/>
      <c r="F1" s="36"/>
      <c r="G1" s="36"/>
      <c r="H1" s="36"/>
      <c r="I1" s="36"/>
      <c r="J1" s="36"/>
      <c r="K1" s="36"/>
      <c r="L1" s="37"/>
      <c r="M1" s="37"/>
      <c r="N1" s="37"/>
      <c r="O1" s="37"/>
    </row>
    <row r="2" s="12" customFormat="1" ht="28" customHeight="1" spans="1:15">
      <c r="A2" s="13" t="s">
        <v>1</v>
      </c>
      <c r="B2" s="38" t="s">
        <v>2</v>
      </c>
      <c r="C2" s="38" t="s">
        <v>3</v>
      </c>
      <c r="D2" s="38" t="s">
        <v>4</v>
      </c>
      <c r="E2" s="13" t="s">
        <v>5</v>
      </c>
      <c r="F2" s="13"/>
      <c r="G2" s="13"/>
      <c r="H2" s="13"/>
      <c r="I2" s="13"/>
      <c r="J2" s="13"/>
      <c r="K2" s="13"/>
      <c r="L2" s="40" t="s">
        <v>20</v>
      </c>
      <c r="M2" s="40" t="s">
        <v>7</v>
      </c>
      <c r="N2" s="40" t="s">
        <v>8</v>
      </c>
      <c r="O2" s="41" t="s">
        <v>9</v>
      </c>
    </row>
    <row r="3" s="22" customFormat="1" ht="128.25" spans="1:15">
      <c r="A3" s="13"/>
      <c r="B3" s="38"/>
      <c r="C3" s="38"/>
      <c r="D3" s="38"/>
      <c r="E3" s="13" t="s">
        <v>21</v>
      </c>
      <c r="F3" s="13" t="s">
        <v>22</v>
      </c>
      <c r="G3" s="13" t="s">
        <v>23</v>
      </c>
      <c r="H3" s="13" t="s">
        <v>24</v>
      </c>
      <c r="I3" s="13" t="s">
        <v>25</v>
      </c>
      <c r="J3" s="13" t="s">
        <v>26</v>
      </c>
      <c r="K3" s="13" t="s">
        <v>27</v>
      </c>
      <c r="L3" s="42"/>
      <c r="M3" s="42"/>
      <c r="N3" s="42"/>
      <c r="O3" s="43"/>
    </row>
    <row r="4" s="1" customFormat="1" ht="28" customHeight="1" spans="1:15">
      <c r="A4" s="10">
        <v>1</v>
      </c>
      <c r="B4" s="10" t="s">
        <v>28</v>
      </c>
      <c r="C4" s="10" t="s">
        <v>29</v>
      </c>
      <c r="D4" s="10" t="str">
        <f>"易高明"</f>
        <v>易高明</v>
      </c>
      <c r="E4" s="39">
        <v>6</v>
      </c>
      <c r="F4" s="39">
        <v>10</v>
      </c>
      <c r="G4" s="39">
        <v>2</v>
      </c>
      <c r="H4" s="39">
        <v>0</v>
      </c>
      <c r="I4" s="39">
        <v>0</v>
      </c>
      <c r="J4" s="39">
        <v>0</v>
      </c>
      <c r="K4" s="39">
        <v>2</v>
      </c>
      <c r="L4" s="10">
        <v>20</v>
      </c>
      <c r="M4" s="10" t="s">
        <v>17</v>
      </c>
      <c r="N4" s="10" t="s">
        <v>18</v>
      </c>
      <c r="O4" s="10"/>
    </row>
    <row r="5" s="1" customFormat="1" ht="28" customHeight="1" spans="1:15">
      <c r="A5" s="10">
        <v>2</v>
      </c>
      <c r="B5" s="10" t="s">
        <v>28</v>
      </c>
      <c r="C5" s="10" t="s">
        <v>29</v>
      </c>
      <c r="D5" s="10" t="str">
        <f>"李周铭"</f>
        <v>李周铭</v>
      </c>
      <c r="E5" s="39">
        <v>8</v>
      </c>
      <c r="F5" s="39">
        <v>0</v>
      </c>
      <c r="G5" s="39">
        <v>6</v>
      </c>
      <c r="H5" s="39">
        <v>0</v>
      </c>
      <c r="I5" s="39">
        <v>0</v>
      </c>
      <c r="J5" s="39">
        <v>0</v>
      </c>
      <c r="K5" s="39">
        <v>2</v>
      </c>
      <c r="L5" s="10">
        <v>16</v>
      </c>
      <c r="M5" s="10" t="s">
        <v>17</v>
      </c>
      <c r="N5" s="10" t="s">
        <v>18</v>
      </c>
      <c r="O5" s="10"/>
    </row>
    <row r="6" s="1" customFormat="1" ht="28" customHeight="1" spans="1:15">
      <c r="A6" s="10">
        <v>3</v>
      </c>
      <c r="B6" s="10" t="s">
        <v>28</v>
      </c>
      <c r="C6" s="10" t="s">
        <v>29</v>
      </c>
      <c r="D6" s="10" t="str">
        <f>"谭晓鉴"</f>
        <v>谭晓鉴</v>
      </c>
      <c r="E6" s="39">
        <v>0</v>
      </c>
      <c r="F6" s="39">
        <v>0</v>
      </c>
      <c r="G6" s="39">
        <v>10</v>
      </c>
      <c r="H6" s="39">
        <v>0</v>
      </c>
      <c r="I6" s="39">
        <v>0</v>
      </c>
      <c r="J6" s="39">
        <v>0</v>
      </c>
      <c r="K6" s="39">
        <v>0</v>
      </c>
      <c r="L6" s="10">
        <v>10</v>
      </c>
      <c r="M6" s="10" t="s">
        <v>17</v>
      </c>
      <c r="N6" s="10" t="s">
        <v>18</v>
      </c>
      <c r="O6" s="10"/>
    </row>
    <row r="7" s="1" customFormat="1" ht="28" customHeight="1" spans="1:15">
      <c r="A7" s="10">
        <v>4</v>
      </c>
      <c r="B7" s="10" t="s">
        <v>28</v>
      </c>
      <c r="C7" s="10" t="s">
        <v>29</v>
      </c>
      <c r="D7" s="10" t="str">
        <f>"黄磊"</f>
        <v>黄磊</v>
      </c>
      <c r="E7" s="39">
        <v>0</v>
      </c>
      <c r="F7" s="39">
        <v>0</v>
      </c>
      <c r="G7" s="39">
        <v>0</v>
      </c>
      <c r="H7" s="39">
        <v>0</v>
      </c>
      <c r="I7" s="39">
        <v>0</v>
      </c>
      <c r="J7" s="39">
        <v>0</v>
      </c>
      <c r="K7" s="39">
        <v>10</v>
      </c>
      <c r="L7" s="10">
        <v>10</v>
      </c>
      <c r="M7" s="10" t="s">
        <v>17</v>
      </c>
      <c r="N7" s="10" t="s">
        <v>18</v>
      </c>
      <c r="O7" s="10"/>
    </row>
    <row r="8" s="1" customFormat="1" ht="28" customHeight="1" spans="1:15">
      <c r="A8" s="10">
        <v>5</v>
      </c>
      <c r="B8" s="10" t="s">
        <v>28</v>
      </c>
      <c r="C8" s="10" t="s">
        <v>29</v>
      </c>
      <c r="D8" s="10" t="str">
        <f>"唐欣"</f>
        <v>唐欣</v>
      </c>
      <c r="E8" s="39">
        <v>0</v>
      </c>
      <c r="F8" s="39">
        <v>0</v>
      </c>
      <c r="G8" s="39">
        <v>10</v>
      </c>
      <c r="H8" s="39">
        <v>0</v>
      </c>
      <c r="I8" s="39">
        <v>0</v>
      </c>
      <c r="J8" s="39">
        <v>0</v>
      </c>
      <c r="K8" s="39">
        <v>0</v>
      </c>
      <c r="L8" s="10">
        <v>10</v>
      </c>
      <c r="M8" s="10" t="s">
        <v>17</v>
      </c>
      <c r="N8" s="10" t="s">
        <v>18</v>
      </c>
      <c r="O8" s="10"/>
    </row>
    <row r="9" s="1" customFormat="1" ht="28" customHeight="1" spans="1:15">
      <c r="A9" s="10">
        <v>6</v>
      </c>
      <c r="B9" s="10" t="s">
        <v>28</v>
      </c>
      <c r="C9" s="10" t="s">
        <v>29</v>
      </c>
      <c r="D9" s="10" t="str">
        <f>"李嘉俊"</f>
        <v>李嘉俊</v>
      </c>
      <c r="E9" s="39">
        <v>6</v>
      </c>
      <c r="F9" s="39">
        <v>0</v>
      </c>
      <c r="G9" s="39">
        <v>0</v>
      </c>
      <c r="H9" s="39">
        <v>0</v>
      </c>
      <c r="I9" s="39">
        <v>0</v>
      </c>
      <c r="J9" s="39">
        <v>0</v>
      </c>
      <c r="K9" s="39">
        <v>2</v>
      </c>
      <c r="L9" s="10">
        <v>8</v>
      </c>
      <c r="M9" s="10" t="s">
        <v>17</v>
      </c>
      <c r="N9" s="10" t="s">
        <v>18</v>
      </c>
      <c r="O9" s="10"/>
    </row>
    <row r="10" s="1" customFormat="1" ht="28" customHeight="1" spans="1:15">
      <c r="A10" s="10">
        <v>7</v>
      </c>
      <c r="B10" s="10" t="s">
        <v>28</v>
      </c>
      <c r="C10" s="10" t="s">
        <v>29</v>
      </c>
      <c r="D10" s="10" t="str">
        <f>"史俊杰"</f>
        <v>史俊杰</v>
      </c>
      <c r="E10" s="39">
        <v>0</v>
      </c>
      <c r="F10" s="39">
        <v>0</v>
      </c>
      <c r="G10" s="39">
        <v>0</v>
      </c>
      <c r="H10" s="39">
        <v>0</v>
      </c>
      <c r="I10" s="39">
        <v>0</v>
      </c>
      <c r="J10" s="39">
        <v>0</v>
      </c>
      <c r="K10" s="39">
        <v>6</v>
      </c>
      <c r="L10" s="10">
        <v>6</v>
      </c>
      <c r="M10" s="10" t="s">
        <v>17</v>
      </c>
      <c r="N10" s="10" t="s">
        <v>18</v>
      </c>
      <c r="O10" s="10"/>
    </row>
    <row r="11" s="1" customFormat="1" ht="28" customHeight="1" spans="1:15">
      <c r="A11" s="10">
        <v>8</v>
      </c>
      <c r="B11" s="10" t="s">
        <v>28</v>
      </c>
      <c r="C11" s="10" t="s">
        <v>29</v>
      </c>
      <c r="D11" s="10" t="str">
        <f>"吴璐瑶"</f>
        <v>吴璐瑶</v>
      </c>
      <c r="E11" s="39">
        <v>6</v>
      </c>
      <c r="F11" s="39">
        <v>0</v>
      </c>
      <c r="G11" s="39">
        <v>0</v>
      </c>
      <c r="H11" s="39">
        <v>0</v>
      </c>
      <c r="I11" s="39">
        <v>0</v>
      </c>
      <c r="J11" s="39">
        <v>0</v>
      </c>
      <c r="K11" s="39">
        <v>0</v>
      </c>
      <c r="L11" s="10">
        <v>6</v>
      </c>
      <c r="M11" s="10" t="s">
        <v>17</v>
      </c>
      <c r="N11" s="10" t="s">
        <v>18</v>
      </c>
      <c r="O11" s="10"/>
    </row>
    <row r="12" s="1" customFormat="1" ht="28" customHeight="1" spans="1:15">
      <c r="A12" s="10">
        <v>9</v>
      </c>
      <c r="B12" s="10" t="s">
        <v>28</v>
      </c>
      <c r="C12" s="10" t="s">
        <v>29</v>
      </c>
      <c r="D12" s="10" t="str">
        <f>"陈金秋"</f>
        <v>陈金秋</v>
      </c>
      <c r="E12" s="39">
        <v>2</v>
      </c>
      <c r="F12" s="39">
        <v>0</v>
      </c>
      <c r="G12" s="39">
        <v>0</v>
      </c>
      <c r="H12" s="39">
        <v>0</v>
      </c>
      <c r="I12" s="39">
        <v>0</v>
      </c>
      <c r="J12" s="39">
        <v>0</v>
      </c>
      <c r="K12" s="39">
        <v>2</v>
      </c>
      <c r="L12" s="10">
        <v>4</v>
      </c>
      <c r="M12" s="10" t="s">
        <v>17</v>
      </c>
      <c r="N12" s="10" t="s">
        <v>18</v>
      </c>
      <c r="O12" s="10"/>
    </row>
    <row r="13" s="1" customFormat="1" ht="28" customHeight="1" spans="1:15">
      <c r="A13" s="10">
        <v>10</v>
      </c>
      <c r="B13" s="10" t="s">
        <v>28</v>
      </c>
      <c r="C13" s="10" t="s">
        <v>29</v>
      </c>
      <c r="D13" s="10" t="str">
        <f>"曹雪"</f>
        <v>曹雪</v>
      </c>
      <c r="E13" s="39">
        <v>0</v>
      </c>
      <c r="F13" s="39">
        <v>0</v>
      </c>
      <c r="G13" s="39">
        <v>4</v>
      </c>
      <c r="H13" s="39">
        <v>0</v>
      </c>
      <c r="I13" s="39">
        <v>0</v>
      </c>
      <c r="J13" s="39">
        <v>0</v>
      </c>
      <c r="K13" s="39">
        <v>0</v>
      </c>
      <c r="L13" s="10">
        <v>4</v>
      </c>
      <c r="M13" s="10" t="s">
        <v>17</v>
      </c>
      <c r="N13" s="10" t="s">
        <v>18</v>
      </c>
      <c r="O13" s="10"/>
    </row>
    <row r="14" s="1" customFormat="1" ht="28" customHeight="1" spans="1:15">
      <c r="A14" s="10">
        <v>11</v>
      </c>
      <c r="B14" s="10" t="s">
        <v>28</v>
      </c>
      <c r="C14" s="10" t="s">
        <v>29</v>
      </c>
      <c r="D14" s="10" t="str">
        <f>"胡小达"</f>
        <v>胡小达</v>
      </c>
      <c r="E14" s="39">
        <v>0</v>
      </c>
      <c r="F14" s="39">
        <v>0</v>
      </c>
      <c r="G14" s="39">
        <v>4</v>
      </c>
      <c r="H14" s="39">
        <v>0</v>
      </c>
      <c r="I14" s="39">
        <v>0</v>
      </c>
      <c r="J14" s="39">
        <v>0</v>
      </c>
      <c r="K14" s="39">
        <v>0</v>
      </c>
      <c r="L14" s="10">
        <v>4</v>
      </c>
      <c r="M14" s="10" t="s">
        <v>17</v>
      </c>
      <c r="N14" s="10" t="s">
        <v>18</v>
      </c>
      <c r="O14" s="10"/>
    </row>
    <row r="15" s="1" customFormat="1" ht="28" customHeight="1" spans="1:15">
      <c r="A15" s="10">
        <v>12</v>
      </c>
      <c r="B15" s="10" t="s">
        <v>28</v>
      </c>
      <c r="C15" s="10" t="s">
        <v>29</v>
      </c>
      <c r="D15" s="10" t="str">
        <f>"林文泽"</f>
        <v>林文泽</v>
      </c>
      <c r="E15" s="39">
        <v>0</v>
      </c>
      <c r="F15" s="39">
        <v>0</v>
      </c>
      <c r="G15" s="39">
        <v>4</v>
      </c>
      <c r="H15" s="39">
        <v>0</v>
      </c>
      <c r="I15" s="39">
        <v>0</v>
      </c>
      <c r="J15" s="39">
        <v>0</v>
      </c>
      <c r="K15" s="39">
        <v>0</v>
      </c>
      <c r="L15" s="10">
        <v>4</v>
      </c>
      <c r="M15" s="10" t="s">
        <v>17</v>
      </c>
      <c r="N15" s="10" t="s">
        <v>18</v>
      </c>
      <c r="O15" s="10"/>
    </row>
    <row r="16" s="1" customFormat="1" ht="28" customHeight="1" spans="1:15">
      <c r="A16" s="10">
        <v>13</v>
      </c>
      <c r="B16" s="10" t="s">
        <v>28</v>
      </c>
      <c r="C16" s="10" t="s">
        <v>29</v>
      </c>
      <c r="D16" s="10" t="str">
        <f>"梁宇"</f>
        <v>梁宇</v>
      </c>
      <c r="E16" s="39">
        <v>0</v>
      </c>
      <c r="F16" s="39">
        <v>0</v>
      </c>
      <c r="G16" s="39">
        <v>2</v>
      </c>
      <c r="H16" s="39">
        <v>0</v>
      </c>
      <c r="I16" s="39">
        <v>0</v>
      </c>
      <c r="J16" s="39">
        <v>0</v>
      </c>
      <c r="K16" s="39">
        <v>0</v>
      </c>
      <c r="L16" s="10">
        <v>2</v>
      </c>
      <c r="M16" s="10" t="s">
        <v>17</v>
      </c>
      <c r="N16" s="10" t="s">
        <v>19</v>
      </c>
      <c r="O16" s="10"/>
    </row>
    <row r="17" s="1" customFormat="1" ht="28" customHeight="1" spans="1:15">
      <c r="A17" s="10">
        <v>14</v>
      </c>
      <c r="B17" s="10" t="s">
        <v>28</v>
      </c>
      <c r="C17" s="10" t="s">
        <v>29</v>
      </c>
      <c r="D17" s="10" t="str">
        <f>"陈月花"</f>
        <v>陈月花</v>
      </c>
      <c r="E17" s="39">
        <v>2</v>
      </c>
      <c r="F17" s="39">
        <v>0</v>
      </c>
      <c r="G17" s="39">
        <v>0</v>
      </c>
      <c r="H17" s="39">
        <v>0</v>
      </c>
      <c r="I17" s="39">
        <v>0</v>
      </c>
      <c r="J17" s="39">
        <v>0</v>
      </c>
      <c r="K17" s="39">
        <v>0</v>
      </c>
      <c r="L17" s="10">
        <v>2</v>
      </c>
      <c r="M17" s="10" t="s">
        <v>17</v>
      </c>
      <c r="N17" s="10" t="s">
        <v>19</v>
      </c>
      <c r="O17" s="10"/>
    </row>
    <row r="18" s="1" customFormat="1" ht="28" customHeight="1" spans="1:15">
      <c r="A18" s="10">
        <v>15</v>
      </c>
      <c r="B18" s="10" t="s">
        <v>28</v>
      </c>
      <c r="C18" s="10" t="s">
        <v>29</v>
      </c>
      <c r="D18" s="10" t="str">
        <f>"吴文雅"</f>
        <v>吴文雅</v>
      </c>
      <c r="E18" s="39">
        <v>0</v>
      </c>
      <c r="F18" s="39">
        <v>0</v>
      </c>
      <c r="G18" s="39">
        <v>2</v>
      </c>
      <c r="H18" s="39">
        <v>0</v>
      </c>
      <c r="I18" s="39">
        <v>0</v>
      </c>
      <c r="J18" s="39">
        <v>0</v>
      </c>
      <c r="K18" s="39">
        <v>0</v>
      </c>
      <c r="L18" s="10">
        <v>2</v>
      </c>
      <c r="M18" s="10" t="s">
        <v>17</v>
      </c>
      <c r="N18" s="10" t="s">
        <v>19</v>
      </c>
      <c r="O18" s="10"/>
    </row>
    <row r="19" s="1" customFormat="1" ht="28" customHeight="1" spans="1:15">
      <c r="A19" s="10">
        <v>16</v>
      </c>
      <c r="B19" s="10" t="s">
        <v>28</v>
      </c>
      <c r="C19" s="10" t="s">
        <v>29</v>
      </c>
      <c r="D19" s="10" t="str">
        <f>"张纪泽"</f>
        <v>张纪泽</v>
      </c>
      <c r="E19" s="39">
        <v>2</v>
      </c>
      <c r="F19" s="39">
        <v>0</v>
      </c>
      <c r="G19" s="39">
        <v>0</v>
      </c>
      <c r="H19" s="39">
        <v>0</v>
      </c>
      <c r="I19" s="39">
        <v>0</v>
      </c>
      <c r="J19" s="39">
        <v>0</v>
      </c>
      <c r="K19" s="39">
        <v>0</v>
      </c>
      <c r="L19" s="10">
        <v>2</v>
      </c>
      <c r="M19" s="10" t="s">
        <v>17</v>
      </c>
      <c r="N19" s="10" t="s">
        <v>19</v>
      </c>
      <c r="O19" s="10"/>
    </row>
    <row r="20" s="1" customFormat="1" ht="28" customHeight="1" spans="1:15">
      <c r="A20" s="10">
        <v>17</v>
      </c>
      <c r="B20" s="10" t="s">
        <v>28</v>
      </c>
      <c r="C20" s="10" t="s">
        <v>29</v>
      </c>
      <c r="D20" s="10" t="str">
        <f>"张静"</f>
        <v>张静</v>
      </c>
      <c r="E20" s="39">
        <v>0</v>
      </c>
      <c r="F20" s="39">
        <v>0</v>
      </c>
      <c r="G20" s="39">
        <v>0</v>
      </c>
      <c r="H20" s="39">
        <v>0</v>
      </c>
      <c r="I20" s="39">
        <v>0</v>
      </c>
      <c r="J20" s="39">
        <v>2</v>
      </c>
      <c r="K20" s="39">
        <v>0</v>
      </c>
      <c r="L20" s="10">
        <v>2</v>
      </c>
      <c r="M20" s="10" t="s">
        <v>17</v>
      </c>
      <c r="N20" s="10" t="s">
        <v>19</v>
      </c>
      <c r="O20" s="10"/>
    </row>
    <row r="21" s="1" customFormat="1" ht="28" customHeight="1" spans="1:15">
      <c r="A21" s="10">
        <v>18</v>
      </c>
      <c r="B21" s="10" t="s">
        <v>28</v>
      </c>
      <c r="C21" s="10" t="s">
        <v>29</v>
      </c>
      <c r="D21" s="10" t="str">
        <f>"符凤玉"</f>
        <v>符凤玉</v>
      </c>
      <c r="E21" s="39">
        <v>0</v>
      </c>
      <c r="F21" s="39">
        <v>0</v>
      </c>
      <c r="G21" s="39">
        <v>2</v>
      </c>
      <c r="H21" s="39">
        <v>0</v>
      </c>
      <c r="I21" s="39">
        <v>0</v>
      </c>
      <c r="J21" s="39">
        <v>0</v>
      </c>
      <c r="K21" s="39">
        <v>0</v>
      </c>
      <c r="L21" s="10">
        <v>2</v>
      </c>
      <c r="M21" s="10" t="s">
        <v>17</v>
      </c>
      <c r="N21" s="10" t="s">
        <v>19</v>
      </c>
      <c r="O21" s="10"/>
    </row>
    <row r="22" s="1" customFormat="1" ht="28" customHeight="1" spans="1:15">
      <c r="A22" s="10">
        <v>19</v>
      </c>
      <c r="B22" s="10" t="s">
        <v>28</v>
      </c>
      <c r="C22" s="10" t="s">
        <v>29</v>
      </c>
      <c r="D22" s="10" t="str">
        <f>"连心"</f>
        <v>连心</v>
      </c>
      <c r="E22" s="39">
        <v>0</v>
      </c>
      <c r="F22" s="39">
        <v>0</v>
      </c>
      <c r="G22" s="39">
        <v>2</v>
      </c>
      <c r="H22" s="39">
        <v>0</v>
      </c>
      <c r="I22" s="39">
        <v>0</v>
      </c>
      <c r="J22" s="39">
        <v>0</v>
      </c>
      <c r="K22" s="39">
        <v>0</v>
      </c>
      <c r="L22" s="10">
        <v>2</v>
      </c>
      <c r="M22" s="10" t="s">
        <v>17</v>
      </c>
      <c r="N22" s="10" t="s">
        <v>19</v>
      </c>
      <c r="O22" s="10"/>
    </row>
    <row r="23" s="1" customFormat="1" ht="28" customHeight="1" spans="1:15">
      <c r="A23" s="10">
        <v>20</v>
      </c>
      <c r="B23" s="10" t="s">
        <v>28</v>
      </c>
      <c r="C23" s="10" t="s">
        <v>29</v>
      </c>
      <c r="D23" s="10" t="str">
        <f>"陈秀良"</f>
        <v>陈秀良</v>
      </c>
      <c r="E23" s="39">
        <v>2</v>
      </c>
      <c r="F23" s="39">
        <v>0</v>
      </c>
      <c r="G23" s="39">
        <v>0</v>
      </c>
      <c r="H23" s="39">
        <v>0</v>
      </c>
      <c r="I23" s="39">
        <v>0</v>
      </c>
      <c r="J23" s="39">
        <v>0</v>
      </c>
      <c r="K23" s="39">
        <v>0</v>
      </c>
      <c r="L23" s="10">
        <v>2</v>
      </c>
      <c r="M23" s="10" t="s">
        <v>17</v>
      </c>
      <c r="N23" s="10" t="s">
        <v>19</v>
      </c>
      <c r="O23" s="10"/>
    </row>
    <row r="24" s="1" customFormat="1" ht="28" customHeight="1" spans="1:15">
      <c r="A24" s="10">
        <v>21</v>
      </c>
      <c r="B24" s="10" t="s">
        <v>28</v>
      </c>
      <c r="C24" s="10" t="s">
        <v>29</v>
      </c>
      <c r="D24" s="10" t="str">
        <f>"黄美珠"</f>
        <v>黄美珠</v>
      </c>
      <c r="E24" s="39">
        <v>2</v>
      </c>
      <c r="F24" s="39">
        <v>0</v>
      </c>
      <c r="G24" s="39">
        <v>0</v>
      </c>
      <c r="H24" s="39">
        <v>0</v>
      </c>
      <c r="I24" s="39">
        <v>0</v>
      </c>
      <c r="J24" s="39">
        <v>0</v>
      </c>
      <c r="K24" s="39">
        <v>0</v>
      </c>
      <c r="L24" s="10">
        <v>2</v>
      </c>
      <c r="M24" s="10" t="s">
        <v>17</v>
      </c>
      <c r="N24" s="10" t="s">
        <v>19</v>
      </c>
      <c r="O24" s="10"/>
    </row>
    <row r="25" s="1" customFormat="1" ht="28" customHeight="1" spans="1:15">
      <c r="A25" s="10">
        <v>22</v>
      </c>
      <c r="B25" s="10" t="s">
        <v>28</v>
      </c>
      <c r="C25" s="10" t="s">
        <v>29</v>
      </c>
      <c r="D25" s="10" t="str">
        <f>"冯云辉"</f>
        <v>冯云辉</v>
      </c>
      <c r="E25" s="39">
        <v>0</v>
      </c>
      <c r="F25" s="39">
        <v>0</v>
      </c>
      <c r="G25" s="39">
        <v>0</v>
      </c>
      <c r="H25" s="39">
        <v>0</v>
      </c>
      <c r="I25" s="39">
        <v>0</v>
      </c>
      <c r="J25" s="39">
        <v>0</v>
      </c>
      <c r="K25" s="39">
        <v>2</v>
      </c>
      <c r="L25" s="10">
        <v>2</v>
      </c>
      <c r="M25" s="10" t="s">
        <v>17</v>
      </c>
      <c r="N25" s="10" t="s">
        <v>19</v>
      </c>
      <c r="O25" s="10"/>
    </row>
    <row r="26" s="1" customFormat="1" ht="28" customHeight="1" spans="1:15">
      <c r="A26" s="10">
        <v>23</v>
      </c>
      <c r="B26" s="10" t="s">
        <v>28</v>
      </c>
      <c r="C26" s="10" t="s">
        <v>29</v>
      </c>
      <c r="D26" s="10" t="str">
        <f>"张梦华"</f>
        <v>张梦华</v>
      </c>
      <c r="E26" s="39">
        <v>2</v>
      </c>
      <c r="F26" s="39">
        <v>0</v>
      </c>
      <c r="G26" s="39">
        <v>0</v>
      </c>
      <c r="H26" s="39">
        <v>0</v>
      </c>
      <c r="I26" s="39">
        <v>0</v>
      </c>
      <c r="J26" s="39">
        <v>0</v>
      </c>
      <c r="K26" s="39">
        <v>0</v>
      </c>
      <c r="L26" s="10">
        <v>2</v>
      </c>
      <c r="M26" s="10" t="s">
        <v>17</v>
      </c>
      <c r="N26" s="10" t="s">
        <v>19</v>
      </c>
      <c r="O26" s="10"/>
    </row>
    <row r="27" s="1" customFormat="1" ht="28" customHeight="1" spans="1:15">
      <c r="A27" s="10">
        <v>24</v>
      </c>
      <c r="B27" s="10" t="s">
        <v>28</v>
      </c>
      <c r="C27" s="10" t="s">
        <v>29</v>
      </c>
      <c r="D27" s="10" t="str">
        <f>"李晓默"</f>
        <v>李晓默</v>
      </c>
      <c r="E27" s="39">
        <v>2</v>
      </c>
      <c r="F27" s="39">
        <v>0</v>
      </c>
      <c r="G27" s="39">
        <v>0</v>
      </c>
      <c r="H27" s="39">
        <v>0</v>
      </c>
      <c r="I27" s="39">
        <v>0</v>
      </c>
      <c r="J27" s="39">
        <v>0</v>
      </c>
      <c r="K27" s="39">
        <v>0</v>
      </c>
      <c r="L27" s="10">
        <v>2</v>
      </c>
      <c r="M27" s="10" t="s">
        <v>17</v>
      </c>
      <c r="N27" s="10" t="s">
        <v>19</v>
      </c>
      <c r="O27" s="10"/>
    </row>
    <row r="28" s="1" customFormat="1" ht="28" customHeight="1" spans="1:15">
      <c r="A28" s="10">
        <v>25</v>
      </c>
      <c r="B28" s="10" t="s">
        <v>28</v>
      </c>
      <c r="C28" s="10" t="s">
        <v>29</v>
      </c>
      <c r="D28" s="10" t="str">
        <f>"林小佳"</f>
        <v>林小佳</v>
      </c>
      <c r="E28" s="39">
        <v>0</v>
      </c>
      <c r="F28" s="39">
        <v>0</v>
      </c>
      <c r="G28" s="39">
        <v>0</v>
      </c>
      <c r="H28" s="39">
        <v>0</v>
      </c>
      <c r="I28" s="39">
        <v>0</v>
      </c>
      <c r="J28" s="39">
        <v>2</v>
      </c>
      <c r="K28" s="39">
        <v>0</v>
      </c>
      <c r="L28" s="10">
        <v>2</v>
      </c>
      <c r="M28" s="10" t="s">
        <v>17</v>
      </c>
      <c r="N28" s="10" t="s">
        <v>19</v>
      </c>
      <c r="O28" s="10"/>
    </row>
    <row r="29" s="1" customFormat="1" ht="28" customHeight="1" spans="1:15">
      <c r="A29" s="10">
        <v>26</v>
      </c>
      <c r="B29" s="10" t="s">
        <v>28</v>
      </c>
      <c r="C29" s="10" t="s">
        <v>29</v>
      </c>
      <c r="D29" s="10" t="str">
        <f>"黄曼金"</f>
        <v>黄曼金</v>
      </c>
      <c r="E29" s="39">
        <v>2</v>
      </c>
      <c r="F29" s="39">
        <v>0</v>
      </c>
      <c r="G29" s="39">
        <v>0</v>
      </c>
      <c r="H29" s="39">
        <v>0</v>
      </c>
      <c r="I29" s="39">
        <v>0</v>
      </c>
      <c r="J29" s="39">
        <v>0</v>
      </c>
      <c r="K29" s="39">
        <v>0</v>
      </c>
      <c r="L29" s="10">
        <v>2</v>
      </c>
      <c r="M29" s="10" t="s">
        <v>17</v>
      </c>
      <c r="N29" s="10" t="s">
        <v>19</v>
      </c>
      <c r="O29" s="10"/>
    </row>
    <row r="30" s="1" customFormat="1" ht="28" customHeight="1" spans="1:15">
      <c r="A30" s="10">
        <v>27</v>
      </c>
      <c r="B30" s="10" t="s">
        <v>28</v>
      </c>
      <c r="C30" s="10" t="s">
        <v>29</v>
      </c>
      <c r="D30" s="10" t="str">
        <f>"蔡晓伟"</f>
        <v>蔡晓伟</v>
      </c>
      <c r="E30" s="39">
        <v>0</v>
      </c>
      <c r="F30" s="39">
        <v>0</v>
      </c>
      <c r="G30" s="39">
        <v>0</v>
      </c>
      <c r="H30" s="39">
        <v>2</v>
      </c>
      <c r="I30" s="39">
        <v>0</v>
      </c>
      <c r="J30" s="39">
        <v>0</v>
      </c>
      <c r="K30" s="39">
        <v>0</v>
      </c>
      <c r="L30" s="10">
        <v>2</v>
      </c>
      <c r="M30" s="10" t="s">
        <v>17</v>
      </c>
      <c r="N30" s="10" t="s">
        <v>19</v>
      </c>
      <c r="O30" s="10"/>
    </row>
    <row r="31" s="1" customFormat="1" ht="28" customHeight="1" spans="1:15">
      <c r="A31" s="10">
        <v>28</v>
      </c>
      <c r="B31" s="10" t="s">
        <v>28</v>
      </c>
      <c r="C31" s="10" t="s">
        <v>29</v>
      </c>
      <c r="D31" s="10" t="str">
        <f>"李文婧"</f>
        <v>李文婧</v>
      </c>
      <c r="E31" s="39">
        <v>0</v>
      </c>
      <c r="F31" s="39">
        <v>0</v>
      </c>
      <c r="G31" s="39">
        <v>0</v>
      </c>
      <c r="H31" s="39">
        <v>0</v>
      </c>
      <c r="I31" s="39">
        <v>0</v>
      </c>
      <c r="J31" s="39">
        <v>0</v>
      </c>
      <c r="K31" s="39">
        <v>2</v>
      </c>
      <c r="L31" s="10">
        <v>2</v>
      </c>
      <c r="M31" s="10" t="s">
        <v>17</v>
      </c>
      <c r="N31" s="10" t="s">
        <v>19</v>
      </c>
      <c r="O31" s="10"/>
    </row>
    <row r="32" s="1" customFormat="1" ht="28" customHeight="1" spans="1:15">
      <c r="A32" s="10">
        <v>29</v>
      </c>
      <c r="B32" s="10" t="s">
        <v>28</v>
      </c>
      <c r="C32" s="10" t="s">
        <v>29</v>
      </c>
      <c r="D32" s="10" t="str">
        <f>"梁胜"</f>
        <v>梁胜</v>
      </c>
      <c r="E32" s="39">
        <v>0</v>
      </c>
      <c r="F32" s="39">
        <v>0</v>
      </c>
      <c r="G32" s="39">
        <v>0</v>
      </c>
      <c r="H32" s="39">
        <v>0</v>
      </c>
      <c r="I32" s="39">
        <v>0</v>
      </c>
      <c r="J32" s="39">
        <v>0</v>
      </c>
      <c r="K32" s="39">
        <v>2</v>
      </c>
      <c r="L32" s="10">
        <v>2</v>
      </c>
      <c r="M32" s="10" t="s">
        <v>17</v>
      </c>
      <c r="N32" s="10" t="s">
        <v>19</v>
      </c>
      <c r="O32" s="10"/>
    </row>
    <row r="33" s="1" customFormat="1" ht="28" customHeight="1" spans="1:15">
      <c r="A33" s="10">
        <v>30</v>
      </c>
      <c r="B33" s="10" t="s">
        <v>28</v>
      </c>
      <c r="C33" s="10" t="s">
        <v>29</v>
      </c>
      <c r="D33" s="10" t="str">
        <f>"吉秀怡"</f>
        <v>吉秀怡</v>
      </c>
      <c r="E33" s="39">
        <v>2</v>
      </c>
      <c r="F33" s="39">
        <v>0</v>
      </c>
      <c r="G33" s="39">
        <v>0</v>
      </c>
      <c r="H33" s="39">
        <v>0</v>
      </c>
      <c r="I33" s="39">
        <v>0</v>
      </c>
      <c r="J33" s="39">
        <v>0</v>
      </c>
      <c r="K33" s="39">
        <v>0</v>
      </c>
      <c r="L33" s="10">
        <v>2</v>
      </c>
      <c r="M33" s="10" t="s">
        <v>17</v>
      </c>
      <c r="N33" s="10" t="s">
        <v>19</v>
      </c>
      <c r="O33" s="10"/>
    </row>
    <row r="34" s="1" customFormat="1" ht="28" customHeight="1" spans="1:15">
      <c r="A34" s="10">
        <v>31</v>
      </c>
      <c r="B34" s="10" t="s">
        <v>28</v>
      </c>
      <c r="C34" s="10" t="s">
        <v>29</v>
      </c>
      <c r="D34" s="10" t="str">
        <f>"赵学伟"</f>
        <v>赵学伟</v>
      </c>
      <c r="E34" s="39">
        <v>0</v>
      </c>
      <c r="F34" s="39">
        <v>0</v>
      </c>
      <c r="G34" s="39">
        <v>0</v>
      </c>
      <c r="H34" s="39">
        <v>0</v>
      </c>
      <c r="I34" s="39">
        <v>0</v>
      </c>
      <c r="J34" s="39">
        <v>2</v>
      </c>
      <c r="K34" s="39">
        <v>0</v>
      </c>
      <c r="L34" s="10">
        <v>2</v>
      </c>
      <c r="M34" s="10" t="s">
        <v>17</v>
      </c>
      <c r="N34" s="10" t="s">
        <v>19</v>
      </c>
      <c r="O34" s="10"/>
    </row>
    <row r="35" s="1" customFormat="1" ht="28" customHeight="1" spans="1:15">
      <c r="A35" s="10">
        <v>32</v>
      </c>
      <c r="B35" s="10" t="s">
        <v>28</v>
      </c>
      <c r="C35" s="10" t="s">
        <v>29</v>
      </c>
      <c r="D35" s="10" t="str">
        <f>"陈瑞红"</f>
        <v>陈瑞红</v>
      </c>
      <c r="E35" s="39">
        <v>0</v>
      </c>
      <c r="F35" s="39">
        <v>0</v>
      </c>
      <c r="G35" s="39">
        <v>0</v>
      </c>
      <c r="H35" s="39">
        <v>0</v>
      </c>
      <c r="I35" s="39">
        <v>0</v>
      </c>
      <c r="J35" s="39">
        <v>0</v>
      </c>
      <c r="K35" s="39">
        <v>2</v>
      </c>
      <c r="L35" s="10">
        <v>2</v>
      </c>
      <c r="M35" s="10" t="s">
        <v>17</v>
      </c>
      <c r="N35" s="10" t="s">
        <v>19</v>
      </c>
      <c r="O35" s="10"/>
    </row>
    <row r="36" s="1" customFormat="1" ht="28" customHeight="1" spans="1:15">
      <c r="A36" s="10">
        <v>33</v>
      </c>
      <c r="B36" s="10" t="s">
        <v>28</v>
      </c>
      <c r="C36" s="10" t="s">
        <v>29</v>
      </c>
      <c r="D36" s="10" t="str">
        <f>"黄俊"</f>
        <v>黄俊</v>
      </c>
      <c r="E36" s="39">
        <v>2</v>
      </c>
      <c r="F36" s="39">
        <v>0</v>
      </c>
      <c r="G36" s="39">
        <v>0</v>
      </c>
      <c r="H36" s="39">
        <v>0</v>
      </c>
      <c r="I36" s="39">
        <v>0</v>
      </c>
      <c r="J36" s="39">
        <v>0</v>
      </c>
      <c r="K36" s="39">
        <v>0</v>
      </c>
      <c r="L36" s="10">
        <v>2</v>
      </c>
      <c r="M36" s="10" t="s">
        <v>17</v>
      </c>
      <c r="N36" s="10" t="s">
        <v>19</v>
      </c>
      <c r="O36" s="10"/>
    </row>
    <row r="37" s="1" customFormat="1" ht="28" customHeight="1" spans="1:15">
      <c r="A37" s="10">
        <v>34</v>
      </c>
      <c r="B37" s="10" t="s">
        <v>28</v>
      </c>
      <c r="C37" s="10" t="s">
        <v>29</v>
      </c>
      <c r="D37" s="10" t="str">
        <f>"黄嘉琪"</f>
        <v>黄嘉琪</v>
      </c>
      <c r="E37" s="39">
        <v>2</v>
      </c>
      <c r="F37" s="39">
        <v>0</v>
      </c>
      <c r="G37" s="39">
        <v>0</v>
      </c>
      <c r="H37" s="39">
        <v>0</v>
      </c>
      <c r="I37" s="39">
        <v>0</v>
      </c>
      <c r="J37" s="39">
        <v>0</v>
      </c>
      <c r="K37" s="39">
        <v>0</v>
      </c>
      <c r="L37" s="10">
        <v>2</v>
      </c>
      <c r="M37" s="10" t="s">
        <v>17</v>
      </c>
      <c r="N37" s="10" t="s">
        <v>19</v>
      </c>
      <c r="O37" s="10"/>
    </row>
    <row r="38" s="1" customFormat="1" ht="28" customHeight="1" spans="1:15">
      <c r="A38" s="10">
        <v>35</v>
      </c>
      <c r="B38" s="10" t="s">
        <v>28</v>
      </c>
      <c r="C38" s="10" t="s">
        <v>29</v>
      </c>
      <c r="D38" s="10" t="str">
        <f>"陈文芳"</f>
        <v>陈文芳</v>
      </c>
      <c r="E38" s="39">
        <v>0</v>
      </c>
      <c r="F38" s="39">
        <v>0</v>
      </c>
      <c r="G38" s="39">
        <v>0</v>
      </c>
      <c r="H38" s="39">
        <v>0</v>
      </c>
      <c r="I38" s="39">
        <v>0</v>
      </c>
      <c r="J38" s="39">
        <v>0</v>
      </c>
      <c r="K38" s="39">
        <v>0</v>
      </c>
      <c r="L38" s="10">
        <v>0</v>
      </c>
      <c r="M38" s="10" t="s">
        <v>17</v>
      </c>
      <c r="N38" s="10" t="s">
        <v>19</v>
      </c>
      <c r="O38" s="10"/>
    </row>
    <row r="39" s="1" customFormat="1" ht="28" customHeight="1" spans="1:15">
      <c r="A39" s="10">
        <v>36</v>
      </c>
      <c r="B39" s="10" t="s">
        <v>28</v>
      </c>
      <c r="C39" s="10" t="s">
        <v>29</v>
      </c>
      <c r="D39" s="10" t="str">
        <f>"刘玲"</f>
        <v>刘玲</v>
      </c>
      <c r="E39" s="39">
        <v>0</v>
      </c>
      <c r="F39" s="39">
        <v>0</v>
      </c>
      <c r="G39" s="39">
        <v>0</v>
      </c>
      <c r="H39" s="39">
        <v>0</v>
      </c>
      <c r="I39" s="39">
        <v>0</v>
      </c>
      <c r="J39" s="39">
        <v>0</v>
      </c>
      <c r="K39" s="39">
        <v>0</v>
      </c>
      <c r="L39" s="10">
        <v>0</v>
      </c>
      <c r="M39" s="10" t="s">
        <v>17</v>
      </c>
      <c r="N39" s="10" t="s">
        <v>19</v>
      </c>
      <c r="O39" s="10"/>
    </row>
    <row r="40" s="1" customFormat="1" ht="28" customHeight="1" spans="1:15">
      <c r="A40" s="10">
        <v>37</v>
      </c>
      <c r="B40" s="10" t="s">
        <v>28</v>
      </c>
      <c r="C40" s="10" t="s">
        <v>29</v>
      </c>
      <c r="D40" s="10" t="str">
        <f>"李敏捷"</f>
        <v>李敏捷</v>
      </c>
      <c r="E40" s="39">
        <v>0</v>
      </c>
      <c r="F40" s="39">
        <v>0</v>
      </c>
      <c r="G40" s="39">
        <v>0</v>
      </c>
      <c r="H40" s="39">
        <v>0</v>
      </c>
      <c r="I40" s="39">
        <v>0</v>
      </c>
      <c r="J40" s="39">
        <v>0</v>
      </c>
      <c r="K40" s="39">
        <v>0</v>
      </c>
      <c r="L40" s="10">
        <v>0</v>
      </c>
      <c r="M40" s="10" t="s">
        <v>17</v>
      </c>
      <c r="N40" s="10" t="s">
        <v>19</v>
      </c>
      <c r="O40" s="10"/>
    </row>
    <row r="41" s="1" customFormat="1" ht="28" customHeight="1" spans="1:15">
      <c r="A41" s="10">
        <v>38</v>
      </c>
      <c r="B41" s="10" t="s">
        <v>28</v>
      </c>
      <c r="C41" s="10" t="s">
        <v>29</v>
      </c>
      <c r="D41" s="10" t="str">
        <f>"曾乙刚"</f>
        <v>曾乙刚</v>
      </c>
      <c r="E41" s="39">
        <v>0</v>
      </c>
      <c r="F41" s="39">
        <v>0</v>
      </c>
      <c r="G41" s="39">
        <v>0</v>
      </c>
      <c r="H41" s="39">
        <v>0</v>
      </c>
      <c r="I41" s="39">
        <v>0</v>
      </c>
      <c r="J41" s="39">
        <v>0</v>
      </c>
      <c r="K41" s="39">
        <v>0</v>
      </c>
      <c r="L41" s="10">
        <v>0</v>
      </c>
      <c r="M41" s="10" t="s">
        <v>17</v>
      </c>
      <c r="N41" s="10" t="s">
        <v>19</v>
      </c>
      <c r="O41" s="10"/>
    </row>
    <row r="42" s="1" customFormat="1" ht="28" customHeight="1" spans="1:15">
      <c r="A42" s="10">
        <v>39</v>
      </c>
      <c r="B42" s="10" t="s">
        <v>28</v>
      </c>
      <c r="C42" s="10" t="s">
        <v>29</v>
      </c>
      <c r="D42" s="10" t="str">
        <f>"符贝思"</f>
        <v>符贝思</v>
      </c>
      <c r="E42" s="39">
        <v>0</v>
      </c>
      <c r="F42" s="39">
        <v>0</v>
      </c>
      <c r="G42" s="39">
        <v>0</v>
      </c>
      <c r="H42" s="39">
        <v>0</v>
      </c>
      <c r="I42" s="39">
        <v>0</v>
      </c>
      <c r="J42" s="39">
        <v>0</v>
      </c>
      <c r="K42" s="39">
        <v>0</v>
      </c>
      <c r="L42" s="10">
        <v>0</v>
      </c>
      <c r="M42" s="10" t="s">
        <v>17</v>
      </c>
      <c r="N42" s="10" t="s">
        <v>19</v>
      </c>
      <c r="O42" s="10"/>
    </row>
    <row r="43" s="1" customFormat="1" ht="28" customHeight="1" spans="1:15">
      <c r="A43" s="10">
        <v>40</v>
      </c>
      <c r="B43" s="10" t="s">
        <v>28</v>
      </c>
      <c r="C43" s="10" t="s">
        <v>29</v>
      </c>
      <c r="D43" s="10" t="str">
        <f>"钟梅川"</f>
        <v>钟梅川</v>
      </c>
      <c r="E43" s="39">
        <v>0</v>
      </c>
      <c r="F43" s="39">
        <v>0</v>
      </c>
      <c r="G43" s="39">
        <v>0</v>
      </c>
      <c r="H43" s="39">
        <v>0</v>
      </c>
      <c r="I43" s="39">
        <v>0</v>
      </c>
      <c r="J43" s="39">
        <v>0</v>
      </c>
      <c r="K43" s="39">
        <v>0</v>
      </c>
      <c r="L43" s="10">
        <v>0</v>
      </c>
      <c r="M43" s="10" t="s">
        <v>17</v>
      </c>
      <c r="N43" s="10" t="s">
        <v>19</v>
      </c>
      <c r="O43" s="10"/>
    </row>
    <row r="44" s="1" customFormat="1" ht="28" customHeight="1" spans="1:15">
      <c r="A44" s="10">
        <v>41</v>
      </c>
      <c r="B44" s="10" t="s">
        <v>28</v>
      </c>
      <c r="C44" s="10" t="s">
        <v>29</v>
      </c>
      <c r="D44" s="10" t="str">
        <f>"王天绪"</f>
        <v>王天绪</v>
      </c>
      <c r="E44" s="39">
        <v>0</v>
      </c>
      <c r="F44" s="39">
        <v>0</v>
      </c>
      <c r="G44" s="39">
        <v>0</v>
      </c>
      <c r="H44" s="39">
        <v>0</v>
      </c>
      <c r="I44" s="39">
        <v>0</v>
      </c>
      <c r="J44" s="39">
        <v>0</v>
      </c>
      <c r="K44" s="39">
        <v>0</v>
      </c>
      <c r="L44" s="10">
        <v>0</v>
      </c>
      <c r="M44" s="10" t="s">
        <v>17</v>
      </c>
      <c r="N44" s="10" t="s">
        <v>19</v>
      </c>
      <c r="O44" s="10"/>
    </row>
    <row r="45" s="1" customFormat="1" ht="28" customHeight="1" spans="1:15">
      <c r="A45" s="10">
        <v>42</v>
      </c>
      <c r="B45" s="10" t="s">
        <v>28</v>
      </c>
      <c r="C45" s="10" t="s">
        <v>29</v>
      </c>
      <c r="D45" s="10" t="str">
        <f>"陈瑾"</f>
        <v>陈瑾</v>
      </c>
      <c r="E45" s="39">
        <v>0</v>
      </c>
      <c r="F45" s="39">
        <v>0</v>
      </c>
      <c r="G45" s="39">
        <v>0</v>
      </c>
      <c r="H45" s="39">
        <v>0</v>
      </c>
      <c r="I45" s="39">
        <v>0</v>
      </c>
      <c r="J45" s="39">
        <v>0</v>
      </c>
      <c r="K45" s="39">
        <v>0</v>
      </c>
      <c r="L45" s="10">
        <v>0</v>
      </c>
      <c r="M45" s="10" t="s">
        <v>17</v>
      </c>
      <c r="N45" s="10" t="s">
        <v>19</v>
      </c>
      <c r="O45" s="10"/>
    </row>
    <row r="46" s="1" customFormat="1" ht="28" customHeight="1" spans="1:15">
      <c r="A46" s="10">
        <v>43</v>
      </c>
      <c r="B46" s="10" t="s">
        <v>28</v>
      </c>
      <c r="C46" s="10" t="s">
        <v>29</v>
      </c>
      <c r="D46" s="10" t="str">
        <f>"陈帆"</f>
        <v>陈帆</v>
      </c>
      <c r="E46" s="39">
        <v>0</v>
      </c>
      <c r="F46" s="39">
        <v>0</v>
      </c>
      <c r="G46" s="39">
        <v>0</v>
      </c>
      <c r="H46" s="39">
        <v>0</v>
      </c>
      <c r="I46" s="39">
        <v>0</v>
      </c>
      <c r="J46" s="39">
        <v>0</v>
      </c>
      <c r="K46" s="39">
        <v>0</v>
      </c>
      <c r="L46" s="10">
        <v>0</v>
      </c>
      <c r="M46" s="10" t="s">
        <v>17</v>
      </c>
      <c r="N46" s="10" t="s">
        <v>19</v>
      </c>
      <c r="O46" s="10"/>
    </row>
    <row r="47" s="1" customFormat="1" ht="28" customHeight="1" spans="1:15">
      <c r="A47" s="10">
        <v>44</v>
      </c>
      <c r="B47" s="10" t="s">
        <v>28</v>
      </c>
      <c r="C47" s="10" t="s">
        <v>29</v>
      </c>
      <c r="D47" s="10" t="str">
        <f>"查江燕"</f>
        <v>查江燕</v>
      </c>
      <c r="E47" s="39">
        <v>0</v>
      </c>
      <c r="F47" s="39">
        <v>0</v>
      </c>
      <c r="G47" s="39">
        <v>0</v>
      </c>
      <c r="H47" s="39">
        <v>0</v>
      </c>
      <c r="I47" s="39">
        <v>0</v>
      </c>
      <c r="J47" s="39">
        <v>0</v>
      </c>
      <c r="K47" s="39">
        <v>0</v>
      </c>
      <c r="L47" s="10">
        <v>0</v>
      </c>
      <c r="M47" s="10" t="s">
        <v>17</v>
      </c>
      <c r="N47" s="10" t="s">
        <v>19</v>
      </c>
      <c r="O47" s="10"/>
    </row>
    <row r="48" s="1" customFormat="1" ht="28" customHeight="1" spans="1:15">
      <c r="A48" s="10">
        <v>45</v>
      </c>
      <c r="B48" s="10" t="s">
        <v>28</v>
      </c>
      <c r="C48" s="10" t="s">
        <v>29</v>
      </c>
      <c r="D48" s="10" t="str">
        <f>"许信正"</f>
        <v>许信正</v>
      </c>
      <c r="E48" s="39">
        <v>0</v>
      </c>
      <c r="F48" s="39">
        <v>0</v>
      </c>
      <c r="G48" s="39">
        <v>0</v>
      </c>
      <c r="H48" s="39">
        <v>0</v>
      </c>
      <c r="I48" s="39">
        <v>0</v>
      </c>
      <c r="J48" s="39">
        <v>0</v>
      </c>
      <c r="K48" s="39">
        <v>0</v>
      </c>
      <c r="L48" s="10">
        <v>0</v>
      </c>
      <c r="M48" s="10" t="s">
        <v>17</v>
      </c>
      <c r="N48" s="10" t="s">
        <v>19</v>
      </c>
      <c r="O48" s="10"/>
    </row>
    <row r="49" s="1" customFormat="1" ht="28" customHeight="1" spans="1:15">
      <c r="A49" s="10">
        <v>46</v>
      </c>
      <c r="B49" s="10" t="s">
        <v>28</v>
      </c>
      <c r="C49" s="10" t="s">
        <v>29</v>
      </c>
      <c r="D49" s="10" t="str">
        <f>"祁凯旋"</f>
        <v>祁凯旋</v>
      </c>
      <c r="E49" s="39">
        <v>0</v>
      </c>
      <c r="F49" s="39">
        <v>0</v>
      </c>
      <c r="G49" s="39">
        <v>0</v>
      </c>
      <c r="H49" s="39">
        <v>0</v>
      </c>
      <c r="I49" s="39">
        <v>0</v>
      </c>
      <c r="J49" s="39">
        <v>0</v>
      </c>
      <c r="K49" s="39">
        <v>0</v>
      </c>
      <c r="L49" s="10">
        <v>0</v>
      </c>
      <c r="M49" s="10" t="s">
        <v>17</v>
      </c>
      <c r="N49" s="10" t="s">
        <v>19</v>
      </c>
      <c r="O49" s="10"/>
    </row>
    <row r="50" s="1" customFormat="1" ht="28" customHeight="1" spans="1:15">
      <c r="A50" s="10">
        <v>47</v>
      </c>
      <c r="B50" s="10" t="s">
        <v>28</v>
      </c>
      <c r="C50" s="10" t="s">
        <v>29</v>
      </c>
      <c r="D50" s="10" t="str">
        <f>"董国棠"</f>
        <v>董国棠</v>
      </c>
      <c r="E50" s="39">
        <v>0</v>
      </c>
      <c r="F50" s="39">
        <v>0</v>
      </c>
      <c r="G50" s="39">
        <v>0</v>
      </c>
      <c r="H50" s="39">
        <v>0</v>
      </c>
      <c r="I50" s="39">
        <v>0</v>
      </c>
      <c r="J50" s="39">
        <v>0</v>
      </c>
      <c r="K50" s="39">
        <v>0</v>
      </c>
      <c r="L50" s="10">
        <v>0</v>
      </c>
      <c r="M50" s="10" t="s">
        <v>17</v>
      </c>
      <c r="N50" s="10" t="s">
        <v>19</v>
      </c>
      <c r="O50" s="10"/>
    </row>
    <row r="51" s="1" customFormat="1" ht="28" customHeight="1" spans="1:15">
      <c r="A51" s="10">
        <v>48</v>
      </c>
      <c r="B51" s="10" t="s">
        <v>28</v>
      </c>
      <c r="C51" s="10" t="s">
        <v>29</v>
      </c>
      <c r="D51" s="10" t="str">
        <f>"李泽一"</f>
        <v>李泽一</v>
      </c>
      <c r="E51" s="39">
        <v>0</v>
      </c>
      <c r="F51" s="39">
        <v>0</v>
      </c>
      <c r="G51" s="39">
        <v>0</v>
      </c>
      <c r="H51" s="39">
        <v>0</v>
      </c>
      <c r="I51" s="39">
        <v>0</v>
      </c>
      <c r="J51" s="39">
        <v>0</v>
      </c>
      <c r="K51" s="39">
        <v>0</v>
      </c>
      <c r="L51" s="10">
        <v>0</v>
      </c>
      <c r="M51" s="10" t="s">
        <v>17</v>
      </c>
      <c r="N51" s="10" t="s">
        <v>19</v>
      </c>
      <c r="O51" s="10"/>
    </row>
    <row r="52" s="1" customFormat="1" ht="28" customHeight="1" spans="1:15">
      <c r="A52" s="10">
        <v>49</v>
      </c>
      <c r="B52" s="10" t="s">
        <v>28</v>
      </c>
      <c r="C52" s="10" t="s">
        <v>29</v>
      </c>
      <c r="D52" s="10" t="str">
        <f>"陈国锻"</f>
        <v>陈国锻</v>
      </c>
      <c r="E52" s="39">
        <v>0</v>
      </c>
      <c r="F52" s="39">
        <v>0</v>
      </c>
      <c r="G52" s="39">
        <v>0</v>
      </c>
      <c r="H52" s="39">
        <v>0</v>
      </c>
      <c r="I52" s="39">
        <v>0</v>
      </c>
      <c r="J52" s="39">
        <v>0</v>
      </c>
      <c r="K52" s="39">
        <v>0</v>
      </c>
      <c r="L52" s="10">
        <v>0</v>
      </c>
      <c r="M52" s="10" t="s">
        <v>17</v>
      </c>
      <c r="N52" s="10" t="s">
        <v>19</v>
      </c>
      <c r="O52" s="10"/>
    </row>
    <row r="53" s="1" customFormat="1" ht="28" customHeight="1" spans="1:15">
      <c r="A53" s="10">
        <v>50</v>
      </c>
      <c r="B53" s="10" t="s">
        <v>28</v>
      </c>
      <c r="C53" s="10" t="s">
        <v>29</v>
      </c>
      <c r="D53" s="10" t="str">
        <f>"林雪莲"</f>
        <v>林雪莲</v>
      </c>
      <c r="E53" s="39">
        <v>0</v>
      </c>
      <c r="F53" s="39">
        <v>0</v>
      </c>
      <c r="G53" s="39">
        <v>0</v>
      </c>
      <c r="H53" s="39">
        <v>0</v>
      </c>
      <c r="I53" s="39">
        <v>0</v>
      </c>
      <c r="J53" s="39">
        <v>0</v>
      </c>
      <c r="K53" s="39">
        <v>0</v>
      </c>
      <c r="L53" s="10">
        <v>0</v>
      </c>
      <c r="M53" s="10" t="s">
        <v>17</v>
      </c>
      <c r="N53" s="10" t="s">
        <v>19</v>
      </c>
      <c r="O53" s="10"/>
    </row>
    <row r="54" s="1" customFormat="1" ht="28" customHeight="1" spans="1:15">
      <c r="A54" s="10">
        <v>51</v>
      </c>
      <c r="B54" s="10" t="s">
        <v>28</v>
      </c>
      <c r="C54" s="10" t="s">
        <v>29</v>
      </c>
      <c r="D54" s="10" t="str">
        <f>"李文霞"</f>
        <v>李文霞</v>
      </c>
      <c r="E54" s="39">
        <v>0</v>
      </c>
      <c r="F54" s="39">
        <v>0</v>
      </c>
      <c r="G54" s="39">
        <v>0</v>
      </c>
      <c r="H54" s="39">
        <v>0</v>
      </c>
      <c r="I54" s="39">
        <v>0</v>
      </c>
      <c r="J54" s="39">
        <v>0</v>
      </c>
      <c r="K54" s="39">
        <v>0</v>
      </c>
      <c r="L54" s="10">
        <v>0</v>
      </c>
      <c r="M54" s="10" t="s">
        <v>17</v>
      </c>
      <c r="N54" s="10" t="s">
        <v>19</v>
      </c>
      <c r="O54" s="10"/>
    </row>
    <row r="55" s="1" customFormat="1" ht="28" customHeight="1" spans="1:15">
      <c r="A55" s="10">
        <v>52</v>
      </c>
      <c r="B55" s="10" t="s">
        <v>28</v>
      </c>
      <c r="C55" s="10" t="s">
        <v>29</v>
      </c>
      <c r="D55" s="10" t="str">
        <f>"邢孔业"</f>
        <v>邢孔业</v>
      </c>
      <c r="E55" s="39">
        <v>0</v>
      </c>
      <c r="F55" s="39">
        <v>0</v>
      </c>
      <c r="G55" s="39">
        <v>0</v>
      </c>
      <c r="H55" s="39">
        <v>0</v>
      </c>
      <c r="I55" s="39">
        <v>0</v>
      </c>
      <c r="J55" s="39">
        <v>0</v>
      </c>
      <c r="K55" s="39">
        <v>0</v>
      </c>
      <c r="L55" s="10">
        <v>0</v>
      </c>
      <c r="M55" s="10" t="s">
        <v>17</v>
      </c>
      <c r="N55" s="10" t="s">
        <v>19</v>
      </c>
      <c r="O55" s="10"/>
    </row>
    <row r="56" s="1" customFormat="1" ht="28" customHeight="1" spans="1:15">
      <c r="A56" s="10">
        <v>53</v>
      </c>
      <c r="B56" s="10" t="s">
        <v>28</v>
      </c>
      <c r="C56" s="10" t="s">
        <v>29</v>
      </c>
      <c r="D56" s="10" t="str">
        <f>"王开斌"</f>
        <v>王开斌</v>
      </c>
      <c r="E56" s="39">
        <v>0</v>
      </c>
      <c r="F56" s="39">
        <v>0</v>
      </c>
      <c r="G56" s="39">
        <v>0</v>
      </c>
      <c r="H56" s="39">
        <v>0</v>
      </c>
      <c r="I56" s="39">
        <v>0</v>
      </c>
      <c r="J56" s="39">
        <v>0</v>
      </c>
      <c r="K56" s="39">
        <v>0</v>
      </c>
      <c r="L56" s="10">
        <v>0</v>
      </c>
      <c r="M56" s="10" t="s">
        <v>17</v>
      </c>
      <c r="N56" s="10" t="s">
        <v>19</v>
      </c>
      <c r="O56" s="10"/>
    </row>
    <row r="57" s="1" customFormat="1" ht="28" customHeight="1" spans="1:15">
      <c r="A57" s="10">
        <v>54</v>
      </c>
      <c r="B57" s="10" t="s">
        <v>28</v>
      </c>
      <c r="C57" s="10" t="s">
        <v>29</v>
      </c>
      <c r="D57" s="10" t="str">
        <f>"赵韦全"</f>
        <v>赵韦全</v>
      </c>
      <c r="E57" s="39">
        <v>0</v>
      </c>
      <c r="F57" s="39">
        <v>0</v>
      </c>
      <c r="G57" s="39">
        <v>0</v>
      </c>
      <c r="H57" s="39">
        <v>0</v>
      </c>
      <c r="I57" s="39">
        <v>0</v>
      </c>
      <c r="J57" s="39">
        <v>0</v>
      </c>
      <c r="K57" s="39">
        <v>0</v>
      </c>
      <c r="L57" s="10">
        <v>0</v>
      </c>
      <c r="M57" s="10" t="s">
        <v>17</v>
      </c>
      <c r="N57" s="10" t="s">
        <v>19</v>
      </c>
      <c r="O57" s="10"/>
    </row>
    <row r="58" s="1" customFormat="1" ht="28" customHeight="1" spans="1:15">
      <c r="A58" s="10">
        <v>55</v>
      </c>
      <c r="B58" s="10" t="s">
        <v>28</v>
      </c>
      <c r="C58" s="10" t="s">
        <v>29</v>
      </c>
      <c r="D58" s="10" t="str">
        <f>"董颖卉"</f>
        <v>董颖卉</v>
      </c>
      <c r="E58" s="39">
        <v>0</v>
      </c>
      <c r="F58" s="39">
        <v>0</v>
      </c>
      <c r="G58" s="39">
        <v>0</v>
      </c>
      <c r="H58" s="39">
        <v>0</v>
      </c>
      <c r="I58" s="39">
        <v>0</v>
      </c>
      <c r="J58" s="39">
        <v>0</v>
      </c>
      <c r="K58" s="39">
        <v>0</v>
      </c>
      <c r="L58" s="10">
        <v>0</v>
      </c>
      <c r="M58" s="10" t="s">
        <v>17</v>
      </c>
      <c r="N58" s="10" t="s">
        <v>19</v>
      </c>
      <c r="O58" s="10"/>
    </row>
    <row r="59" s="1" customFormat="1" ht="28" customHeight="1" spans="1:15">
      <c r="A59" s="10">
        <v>56</v>
      </c>
      <c r="B59" s="10" t="s">
        <v>28</v>
      </c>
      <c r="C59" s="10" t="s">
        <v>29</v>
      </c>
      <c r="D59" s="10" t="str">
        <f>"符钰婕"</f>
        <v>符钰婕</v>
      </c>
      <c r="E59" s="39">
        <v>0</v>
      </c>
      <c r="F59" s="39">
        <v>0</v>
      </c>
      <c r="G59" s="39">
        <v>0</v>
      </c>
      <c r="H59" s="39">
        <v>0</v>
      </c>
      <c r="I59" s="39">
        <v>0</v>
      </c>
      <c r="J59" s="39">
        <v>0</v>
      </c>
      <c r="K59" s="39">
        <v>0</v>
      </c>
      <c r="L59" s="10">
        <v>0</v>
      </c>
      <c r="M59" s="10" t="s">
        <v>17</v>
      </c>
      <c r="N59" s="10" t="s">
        <v>19</v>
      </c>
      <c r="O59" s="10"/>
    </row>
    <row r="60" s="1" customFormat="1" ht="28" customHeight="1" spans="1:15">
      <c r="A60" s="10">
        <v>57</v>
      </c>
      <c r="B60" s="10" t="s">
        <v>28</v>
      </c>
      <c r="C60" s="10" t="s">
        <v>29</v>
      </c>
      <c r="D60" s="10" t="str">
        <f>"陈金宁"</f>
        <v>陈金宁</v>
      </c>
      <c r="E60" s="39">
        <v>0</v>
      </c>
      <c r="F60" s="39">
        <v>0</v>
      </c>
      <c r="G60" s="39">
        <v>0</v>
      </c>
      <c r="H60" s="39">
        <v>0</v>
      </c>
      <c r="I60" s="39">
        <v>0</v>
      </c>
      <c r="J60" s="39">
        <v>0</v>
      </c>
      <c r="K60" s="39">
        <v>0</v>
      </c>
      <c r="L60" s="10">
        <v>0</v>
      </c>
      <c r="M60" s="10" t="s">
        <v>17</v>
      </c>
      <c r="N60" s="10" t="s">
        <v>19</v>
      </c>
      <c r="O60" s="10"/>
    </row>
    <row r="61" s="1" customFormat="1" ht="28" customHeight="1" spans="1:15">
      <c r="A61" s="10">
        <v>58</v>
      </c>
      <c r="B61" s="10" t="s">
        <v>28</v>
      </c>
      <c r="C61" s="10" t="s">
        <v>29</v>
      </c>
      <c r="D61" s="10" t="str">
        <f>"林培培"</f>
        <v>林培培</v>
      </c>
      <c r="E61" s="39">
        <v>0</v>
      </c>
      <c r="F61" s="39">
        <v>0</v>
      </c>
      <c r="G61" s="39">
        <v>0</v>
      </c>
      <c r="H61" s="39">
        <v>0</v>
      </c>
      <c r="I61" s="39">
        <v>0</v>
      </c>
      <c r="J61" s="39">
        <v>0</v>
      </c>
      <c r="K61" s="39">
        <v>0</v>
      </c>
      <c r="L61" s="10">
        <v>0</v>
      </c>
      <c r="M61" s="10" t="s">
        <v>17</v>
      </c>
      <c r="N61" s="10" t="s">
        <v>19</v>
      </c>
      <c r="O61" s="10"/>
    </row>
    <row r="62" s="1" customFormat="1" ht="28" customHeight="1" spans="1:15">
      <c r="A62" s="10">
        <v>59</v>
      </c>
      <c r="B62" s="10" t="s">
        <v>28</v>
      </c>
      <c r="C62" s="10" t="s">
        <v>29</v>
      </c>
      <c r="D62" s="10" t="str">
        <f>"黄路伟"</f>
        <v>黄路伟</v>
      </c>
      <c r="E62" s="39">
        <v>0</v>
      </c>
      <c r="F62" s="39">
        <v>0</v>
      </c>
      <c r="G62" s="39">
        <v>0</v>
      </c>
      <c r="H62" s="39">
        <v>0</v>
      </c>
      <c r="I62" s="39">
        <v>0</v>
      </c>
      <c r="J62" s="39">
        <v>0</v>
      </c>
      <c r="K62" s="39">
        <v>0</v>
      </c>
      <c r="L62" s="10">
        <v>0</v>
      </c>
      <c r="M62" s="10" t="s">
        <v>17</v>
      </c>
      <c r="N62" s="10" t="s">
        <v>19</v>
      </c>
      <c r="O62" s="10"/>
    </row>
    <row r="63" s="1" customFormat="1" ht="28" customHeight="1" spans="1:15">
      <c r="A63" s="10">
        <v>60</v>
      </c>
      <c r="B63" s="10" t="s">
        <v>28</v>
      </c>
      <c r="C63" s="10" t="s">
        <v>29</v>
      </c>
      <c r="D63" s="10" t="str">
        <f>"何金桧"</f>
        <v>何金桧</v>
      </c>
      <c r="E63" s="39">
        <v>0</v>
      </c>
      <c r="F63" s="39">
        <v>0</v>
      </c>
      <c r="G63" s="39">
        <v>0</v>
      </c>
      <c r="H63" s="39">
        <v>0</v>
      </c>
      <c r="I63" s="39">
        <v>0</v>
      </c>
      <c r="J63" s="39">
        <v>0</v>
      </c>
      <c r="K63" s="39">
        <v>0</v>
      </c>
      <c r="L63" s="10">
        <v>0</v>
      </c>
      <c r="M63" s="10" t="s">
        <v>17</v>
      </c>
      <c r="N63" s="10" t="s">
        <v>19</v>
      </c>
      <c r="O63" s="10"/>
    </row>
    <row r="64" s="1" customFormat="1" ht="28" customHeight="1" spans="1:15">
      <c r="A64" s="10">
        <v>61</v>
      </c>
      <c r="B64" s="10" t="s">
        <v>28</v>
      </c>
      <c r="C64" s="10" t="s">
        <v>29</v>
      </c>
      <c r="D64" s="10" t="str">
        <f>"文豪"</f>
        <v>文豪</v>
      </c>
      <c r="E64" s="39">
        <v>0</v>
      </c>
      <c r="F64" s="39">
        <v>0</v>
      </c>
      <c r="G64" s="39">
        <v>0</v>
      </c>
      <c r="H64" s="39">
        <v>0</v>
      </c>
      <c r="I64" s="39">
        <v>0</v>
      </c>
      <c r="J64" s="39">
        <v>0</v>
      </c>
      <c r="K64" s="39">
        <v>0</v>
      </c>
      <c r="L64" s="10">
        <v>0</v>
      </c>
      <c r="M64" s="10" t="s">
        <v>17</v>
      </c>
      <c r="N64" s="10" t="s">
        <v>19</v>
      </c>
      <c r="O64" s="10"/>
    </row>
    <row r="65" s="1" customFormat="1" ht="28" customHeight="1" spans="1:15">
      <c r="A65" s="10">
        <v>62</v>
      </c>
      <c r="B65" s="10" t="s">
        <v>28</v>
      </c>
      <c r="C65" s="10" t="s">
        <v>29</v>
      </c>
      <c r="D65" s="10" t="str">
        <f>"郑贵妃"</f>
        <v>郑贵妃</v>
      </c>
      <c r="E65" s="39">
        <v>0</v>
      </c>
      <c r="F65" s="39">
        <v>0</v>
      </c>
      <c r="G65" s="39">
        <v>0</v>
      </c>
      <c r="H65" s="39">
        <v>0</v>
      </c>
      <c r="I65" s="39">
        <v>0</v>
      </c>
      <c r="J65" s="39">
        <v>0</v>
      </c>
      <c r="K65" s="39">
        <v>0</v>
      </c>
      <c r="L65" s="10">
        <v>0</v>
      </c>
      <c r="M65" s="10" t="s">
        <v>17</v>
      </c>
      <c r="N65" s="10" t="s">
        <v>19</v>
      </c>
      <c r="O65" s="10"/>
    </row>
    <row r="66" s="1" customFormat="1" ht="28" customHeight="1" spans="1:15">
      <c r="A66" s="10">
        <v>63</v>
      </c>
      <c r="B66" s="10" t="s">
        <v>28</v>
      </c>
      <c r="C66" s="10" t="s">
        <v>29</v>
      </c>
      <c r="D66" s="10" t="str">
        <f>"陆文韬"</f>
        <v>陆文韬</v>
      </c>
      <c r="E66" s="39">
        <v>0</v>
      </c>
      <c r="F66" s="39">
        <v>0</v>
      </c>
      <c r="G66" s="39">
        <v>0</v>
      </c>
      <c r="H66" s="39">
        <v>0</v>
      </c>
      <c r="I66" s="39">
        <v>0</v>
      </c>
      <c r="J66" s="39">
        <v>0</v>
      </c>
      <c r="K66" s="39">
        <v>0</v>
      </c>
      <c r="L66" s="10">
        <v>0</v>
      </c>
      <c r="M66" s="10" t="s">
        <v>17</v>
      </c>
      <c r="N66" s="10" t="s">
        <v>19</v>
      </c>
      <c r="O66" s="10"/>
    </row>
    <row r="67" s="1" customFormat="1" ht="28" customHeight="1" spans="1:15">
      <c r="A67" s="10">
        <v>64</v>
      </c>
      <c r="B67" s="10" t="s">
        <v>28</v>
      </c>
      <c r="C67" s="10" t="s">
        <v>29</v>
      </c>
      <c r="D67" s="10" t="str">
        <f>"林晓鹏"</f>
        <v>林晓鹏</v>
      </c>
      <c r="E67" s="39">
        <v>0</v>
      </c>
      <c r="F67" s="39">
        <v>0</v>
      </c>
      <c r="G67" s="39">
        <v>0</v>
      </c>
      <c r="H67" s="39">
        <v>0</v>
      </c>
      <c r="I67" s="39">
        <v>0</v>
      </c>
      <c r="J67" s="39">
        <v>0</v>
      </c>
      <c r="K67" s="39">
        <v>0</v>
      </c>
      <c r="L67" s="10">
        <v>0</v>
      </c>
      <c r="M67" s="10" t="s">
        <v>17</v>
      </c>
      <c r="N67" s="10" t="s">
        <v>19</v>
      </c>
      <c r="O67" s="10"/>
    </row>
    <row r="68" s="1" customFormat="1" ht="28" customHeight="1" spans="1:15">
      <c r="A68" s="10">
        <v>65</v>
      </c>
      <c r="B68" s="10" t="s">
        <v>28</v>
      </c>
      <c r="C68" s="10" t="s">
        <v>29</v>
      </c>
      <c r="D68" s="10" t="str">
        <f>"曾晓敏"</f>
        <v>曾晓敏</v>
      </c>
      <c r="E68" s="39">
        <v>0</v>
      </c>
      <c r="F68" s="39">
        <v>0</v>
      </c>
      <c r="G68" s="39">
        <v>0</v>
      </c>
      <c r="H68" s="39">
        <v>0</v>
      </c>
      <c r="I68" s="39">
        <v>0</v>
      </c>
      <c r="J68" s="39">
        <v>0</v>
      </c>
      <c r="K68" s="39">
        <v>0</v>
      </c>
      <c r="L68" s="10">
        <v>0</v>
      </c>
      <c r="M68" s="10" t="s">
        <v>17</v>
      </c>
      <c r="N68" s="10" t="s">
        <v>19</v>
      </c>
      <c r="O68" s="10"/>
    </row>
    <row r="69" s="1" customFormat="1" ht="28" customHeight="1" spans="1:15">
      <c r="A69" s="10">
        <v>66</v>
      </c>
      <c r="B69" s="10" t="s">
        <v>28</v>
      </c>
      <c r="C69" s="10" t="s">
        <v>29</v>
      </c>
      <c r="D69" s="10" t="str">
        <f>"胡秀雯"</f>
        <v>胡秀雯</v>
      </c>
      <c r="E69" s="39">
        <v>0</v>
      </c>
      <c r="F69" s="39">
        <v>0</v>
      </c>
      <c r="G69" s="39">
        <v>0</v>
      </c>
      <c r="H69" s="39">
        <v>0</v>
      </c>
      <c r="I69" s="39">
        <v>0</v>
      </c>
      <c r="J69" s="39">
        <v>0</v>
      </c>
      <c r="K69" s="39">
        <v>0</v>
      </c>
      <c r="L69" s="10">
        <v>0</v>
      </c>
      <c r="M69" s="10" t="s">
        <v>17</v>
      </c>
      <c r="N69" s="10" t="s">
        <v>19</v>
      </c>
      <c r="O69" s="10"/>
    </row>
    <row r="70" s="1" customFormat="1" ht="28" customHeight="1" spans="1:15">
      <c r="A70" s="10">
        <v>67</v>
      </c>
      <c r="B70" s="10" t="s">
        <v>28</v>
      </c>
      <c r="C70" s="10" t="s">
        <v>29</v>
      </c>
      <c r="D70" s="10" t="str">
        <f>"林阿童"</f>
        <v>林阿童</v>
      </c>
      <c r="E70" s="39">
        <v>0</v>
      </c>
      <c r="F70" s="39">
        <v>0</v>
      </c>
      <c r="G70" s="39">
        <v>0</v>
      </c>
      <c r="H70" s="39">
        <v>0</v>
      </c>
      <c r="I70" s="39">
        <v>0</v>
      </c>
      <c r="J70" s="39">
        <v>0</v>
      </c>
      <c r="K70" s="39">
        <v>0</v>
      </c>
      <c r="L70" s="10">
        <v>0</v>
      </c>
      <c r="M70" s="10" t="s">
        <v>17</v>
      </c>
      <c r="N70" s="10" t="s">
        <v>19</v>
      </c>
      <c r="O70" s="10"/>
    </row>
    <row r="71" s="1" customFormat="1" ht="28" customHeight="1" spans="1:15">
      <c r="A71" s="10">
        <v>68</v>
      </c>
      <c r="B71" s="10" t="s">
        <v>28</v>
      </c>
      <c r="C71" s="10" t="s">
        <v>29</v>
      </c>
      <c r="D71" s="10" t="str">
        <f>"黄诚"</f>
        <v>黄诚</v>
      </c>
      <c r="E71" s="39">
        <v>0</v>
      </c>
      <c r="F71" s="39">
        <v>0</v>
      </c>
      <c r="G71" s="39">
        <v>0</v>
      </c>
      <c r="H71" s="39">
        <v>0</v>
      </c>
      <c r="I71" s="39">
        <v>0</v>
      </c>
      <c r="J71" s="39">
        <v>0</v>
      </c>
      <c r="K71" s="39">
        <v>0</v>
      </c>
      <c r="L71" s="10">
        <v>0</v>
      </c>
      <c r="M71" s="10" t="s">
        <v>17</v>
      </c>
      <c r="N71" s="10" t="s">
        <v>19</v>
      </c>
      <c r="O71" s="10"/>
    </row>
    <row r="72" s="1" customFormat="1" ht="28" customHeight="1" spans="1:15">
      <c r="A72" s="10">
        <v>69</v>
      </c>
      <c r="B72" s="10" t="s">
        <v>28</v>
      </c>
      <c r="C72" s="10" t="s">
        <v>29</v>
      </c>
      <c r="D72" s="10" t="str">
        <f>"卓海妹"</f>
        <v>卓海妹</v>
      </c>
      <c r="E72" s="39">
        <v>0</v>
      </c>
      <c r="F72" s="39">
        <v>0</v>
      </c>
      <c r="G72" s="39">
        <v>0</v>
      </c>
      <c r="H72" s="39">
        <v>0</v>
      </c>
      <c r="I72" s="39">
        <v>0</v>
      </c>
      <c r="J72" s="39">
        <v>0</v>
      </c>
      <c r="K72" s="39">
        <v>0</v>
      </c>
      <c r="L72" s="10">
        <v>0</v>
      </c>
      <c r="M72" s="10" t="s">
        <v>17</v>
      </c>
      <c r="N72" s="10" t="s">
        <v>19</v>
      </c>
      <c r="O72" s="10"/>
    </row>
    <row r="73" s="1" customFormat="1" ht="28" customHeight="1" spans="1:15">
      <c r="A73" s="10">
        <v>70</v>
      </c>
      <c r="B73" s="10" t="s">
        <v>28</v>
      </c>
      <c r="C73" s="10" t="s">
        <v>29</v>
      </c>
      <c r="D73" s="10" t="str">
        <f>"何文慧"</f>
        <v>何文慧</v>
      </c>
      <c r="E73" s="39">
        <v>0</v>
      </c>
      <c r="F73" s="39">
        <v>0</v>
      </c>
      <c r="G73" s="39">
        <v>0</v>
      </c>
      <c r="H73" s="39">
        <v>0</v>
      </c>
      <c r="I73" s="39">
        <v>0</v>
      </c>
      <c r="J73" s="39">
        <v>0</v>
      </c>
      <c r="K73" s="39">
        <v>0</v>
      </c>
      <c r="L73" s="10">
        <v>0</v>
      </c>
      <c r="M73" s="10" t="s">
        <v>17</v>
      </c>
      <c r="N73" s="10" t="s">
        <v>19</v>
      </c>
      <c r="O73" s="10"/>
    </row>
    <row r="74" s="1" customFormat="1" ht="28" customHeight="1" spans="1:15">
      <c r="A74" s="10">
        <v>71</v>
      </c>
      <c r="B74" s="10" t="s">
        <v>28</v>
      </c>
      <c r="C74" s="10" t="s">
        <v>29</v>
      </c>
      <c r="D74" s="10" t="str">
        <f>"黄碧"</f>
        <v>黄碧</v>
      </c>
      <c r="E74" s="39">
        <v>0</v>
      </c>
      <c r="F74" s="39">
        <v>0</v>
      </c>
      <c r="G74" s="39">
        <v>0</v>
      </c>
      <c r="H74" s="39">
        <v>0</v>
      </c>
      <c r="I74" s="39">
        <v>0</v>
      </c>
      <c r="J74" s="39">
        <v>0</v>
      </c>
      <c r="K74" s="39">
        <v>0</v>
      </c>
      <c r="L74" s="10">
        <v>0</v>
      </c>
      <c r="M74" s="10" t="s">
        <v>17</v>
      </c>
      <c r="N74" s="10" t="s">
        <v>19</v>
      </c>
      <c r="O74" s="10"/>
    </row>
    <row r="75" s="1" customFormat="1" ht="28" customHeight="1" spans="1:15">
      <c r="A75" s="10">
        <v>72</v>
      </c>
      <c r="B75" s="10" t="s">
        <v>28</v>
      </c>
      <c r="C75" s="10" t="s">
        <v>29</v>
      </c>
      <c r="D75" s="10" t="str">
        <f>"陈星星"</f>
        <v>陈星星</v>
      </c>
      <c r="E75" s="39">
        <v>0</v>
      </c>
      <c r="F75" s="39">
        <v>0</v>
      </c>
      <c r="G75" s="39">
        <v>0</v>
      </c>
      <c r="H75" s="39">
        <v>0</v>
      </c>
      <c r="I75" s="39">
        <v>0</v>
      </c>
      <c r="J75" s="39">
        <v>0</v>
      </c>
      <c r="K75" s="39">
        <v>0</v>
      </c>
      <c r="L75" s="10">
        <v>0</v>
      </c>
      <c r="M75" s="10" t="s">
        <v>17</v>
      </c>
      <c r="N75" s="10" t="s">
        <v>19</v>
      </c>
      <c r="O75" s="10"/>
    </row>
    <row r="76" s="1" customFormat="1" ht="28" customHeight="1" spans="1:15">
      <c r="A76" s="10">
        <v>73</v>
      </c>
      <c r="B76" s="10" t="s">
        <v>28</v>
      </c>
      <c r="C76" s="10" t="s">
        <v>29</v>
      </c>
      <c r="D76" s="10" t="str">
        <f>"何林艺"</f>
        <v>何林艺</v>
      </c>
      <c r="E76" s="39">
        <v>0</v>
      </c>
      <c r="F76" s="39">
        <v>0</v>
      </c>
      <c r="G76" s="39">
        <v>0</v>
      </c>
      <c r="H76" s="39">
        <v>0</v>
      </c>
      <c r="I76" s="39">
        <v>0</v>
      </c>
      <c r="J76" s="39">
        <v>0</v>
      </c>
      <c r="K76" s="39">
        <v>0</v>
      </c>
      <c r="L76" s="10">
        <v>0</v>
      </c>
      <c r="M76" s="10" t="s">
        <v>17</v>
      </c>
      <c r="N76" s="10" t="s">
        <v>19</v>
      </c>
      <c r="O76" s="10"/>
    </row>
    <row r="77" s="1" customFormat="1" ht="28" customHeight="1" spans="1:15">
      <c r="A77" s="10">
        <v>74</v>
      </c>
      <c r="B77" s="10" t="s">
        <v>28</v>
      </c>
      <c r="C77" s="10" t="s">
        <v>29</v>
      </c>
      <c r="D77" s="10" t="str">
        <f>"胡锦泽"</f>
        <v>胡锦泽</v>
      </c>
      <c r="E77" s="39">
        <v>0</v>
      </c>
      <c r="F77" s="39">
        <v>0</v>
      </c>
      <c r="G77" s="39">
        <v>0</v>
      </c>
      <c r="H77" s="39">
        <v>0</v>
      </c>
      <c r="I77" s="39">
        <v>0</v>
      </c>
      <c r="J77" s="39">
        <v>0</v>
      </c>
      <c r="K77" s="39">
        <v>0</v>
      </c>
      <c r="L77" s="10">
        <v>0</v>
      </c>
      <c r="M77" s="10" t="s">
        <v>17</v>
      </c>
      <c r="N77" s="10" t="s">
        <v>19</v>
      </c>
      <c r="O77" s="10"/>
    </row>
    <row r="78" s="1" customFormat="1" ht="28" customHeight="1" spans="1:15">
      <c r="A78" s="10">
        <v>75</v>
      </c>
      <c r="B78" s="10" t="s">
        <v>28</v>
      </c>
      <c r="C78" s="10" t="s">
        <v>29</v>
      </c>
      <c r="D78" s="10" t="str">
        <f>"王仁杆"</f>
        <v>王仁杆</v>
      </c>
      <c r="E78" s="39">
        <v>0</v>
      </c>
      <c r="F78" s="39">
        <v>0</v>
      </c>
      <c r="G78" s="39">
        <v>0</v>
      </c>
      <c r="H78" s="39">
        <v>0</v>
      </c>
      <c r="I78" s="39">
        <v>0</v>
      </c>
      <c r="J78" s="39">
        <v>0</v>
      </c>
      <c r="K78" s="39">
        <v>0</v>
      </c>
      <c r="L78" s="10">
        <v>0</v>
      </c>
      <c r="M78" s="10" t="s">
        <v>17</v>
      </c>
      <c r="N78" s="10" t="s">
        <v>19</v>
      </c>
      <c r="O78" s="10"/>
    </row>
    <row r="79" s="1" customFormat="1" ht="28" customHeight="1" spans="1:15">
      <c r="A79" s="10">
        <v>76</v>
      </c>
      <c r="B79" s="10" t="s">
        <v>28</v>
      </c>
      <c r="C79" s="10" t="s">
        <v>29</v>
      </c>
      <c r="D79" s="10" t="str">
        <f>"冯浩乘"</f>
        <v>冯浩乘</v>
      </c>
      <c r="E79" s="39">
        <v>0</v>
      </c>
      <c r="F79" s="39">
        <v>0</v>
      </c>
      <c r="G79" s="39">
        <v>0</v>
      </c>
      <c r="H79" s="39">
        <v>0</v>
      </c>
      <c r="I79" s="39">
        <v>0</v>
      </c>
      <c r="J79" s="39">
        <v>0</v>
      </c>
      <c r="K79" s="39">
        <v>0</v>
      </c>
      <c r="L79" s="10">
        <v>0</v>
      </c>
      <c r="M79" s="10" t="s">
        <v>17</v>
      </c>
      <c r="N79" s="10" t="s">
        <v>19</v>
      </c>
      <c r="O79" s="10"/>
    </row>
    <row r="80" s="1" customFormat="1" ht="28" customHeight="1" spans="1:15">
      <c r="A80" s="10">
        <v>77</v>
      </c>
      <c r="B80" s="10" t="s">
        <v>28</v>
      </c>
      <c r="C80" s="10" t="s">
        <v>29</v>
      </c>
      <c r="D80" s="10" t="str">
        <f>"黎日皆"</f>
        <v>黎日皆</v>
      </c>
      <c r="E80" s="39">
        <v>0</v>
      </c>
      <c r="F80" s="39">
        <v>0</v>
      </c>
      <c r="G80" s="39">
        <v>0</v>
      </c>
      <c r="H80" s="39">
        <v>0</v>
      </c>
      <c r="I80" s="39">
        <v>0</v>
      </c>
      <c r="J80" s="39">
        <v>0</v>
      </c>
      <c r="K80" s="39">
        <v>0</v>
      </c>
      <c r="L80" s="10">
        <v>0</v>
      </c>
      <c r="M80" s="10" t="s">
        <v>17</v>
      </c>
      <c r="N80" s="10" t="s">
        <v>19</v>
      </c>
      <c r="O80" s="10"/>
    </row>
    <row r="81" s="1" customFormat="1" ht="28" customHeight="1" spans="1:15">
      <c r="A81" s="10">
        <v>78</v>
      </c>
      <c r="B81" s="10" t="s">
        <v>28</v>
      </c>
      <c r="C81" s="10" t="s">
        <v>29</v>
      </c>
      <c r="D81" s="10" t="str">
        <f>"曾倞婧"</f>
        <v>曾倞婧</v>
      </c>
      <c r="E81" s="39">
        <v>0</v>
      </c>
      <c r="F81" s="39">
        <v>0</v>
      </c>
      <c r="G81" s="39">
        <v>0</v>
      </c>
      <c r="H81" s="39">
        <v>0</v>
      </c>
      <c r="I81" s="39">
        <v>0</v>
      </c>
      <c r="J81" s="39">
        <v>0</v>
      </c>
      <c r="K81" s="39">
        <v>0</v>
      </c>
      <c r="L81" s="10">
        <v>0</v>
      </c>
      <c r="M81" s="10" t="s">
        <v>17</v>
      </c>
      <c r="N81" s="10" t="s">
        <v>19</v>
      </c>
      <c r="O81" s="10"/>
    </row>
    <row r="82" s="1" customFormat="1" ht="28" customHeight="1" spans="1:15">
      <c r="A82" s="10">
        <v>79</v>
      </c>
      <c r="B82" s="10" t="s">
        <v>28</v>
      </c>
      <c r="C82" s="10" t="s">
        <v>29</v>
      </c>
      <c r="D82" s="10" t="str">
        <f>"吴伟"</f>
        <v>吴伟</v>
      </c>
      <c r="E82" s="39">
        <v>0</v>
      </c>
      <c r="F82" s="39">
        <v>0</v>
      </c>
      <c r="G82" s="39">
        <v>0</v>
      </c>
      <c r="H82" s="39">
        <v>0</v>
      </c>
      <c r="I82" s="39">
        <v>0</v>
      </c>
      <c r="J82" s="39">
        <v>0</v>
      </c>
      <c r="K82" s="39">
        <v>0</v>
      </c>
      <c r="L82" s="10">
        <v>0</v>
      </c>
      <c r="M82" s="10" t="s">
        <v>17</v>
      </c>
      <c r="N82" s="10" t="s">
        <v>19</v>
      </c>
      <c r="O82" s="10"/>
    </row>
    <row r="83" s="1" customFormat="1" ht="28" customHeight="1" spans="1:15">
      <c r="A83" s="10">
        <v>80</v>
      </c>
      <c r="B83" s="10" t="s">
        <v>28</v>
      </c>
      <c r="C83" s="10" t="s">
        <v>29</v>
      </c>
      <c r="D83" s="10" t="str">
        <f>"朱妙甜"</f>
        <v>朱妙甜</v>
      </c>
      <c r="E83" s="39">
        <v>0</v>
      </c>
      <c r="F83" s="39">
        <v>0</v>
      </c>
      <c r="G83" s="39">
        <v>0</v>
      </c>
      <c r="H83" s="39">
        <v>0</v>
      </c>
      <c r="I83" s="39">
        <v>0</v>
      </c>
      <c r="J83" s="39">
        <v>0</v>
      </c>
      <c r="K83" s="39">
        <v>0</v>
      </c>
      <c r="L83" s="10">
        <v>0</v>
      </c>
      <c r="M83" s="10" t="s">
        <v>17</v>
      </c>
      <c r="N83" s="10" t="s">
        <v>19</v>
      </c>
      <c r="O83" s="10"/>
    </row>
    <row r="84" s="1" customFormat="1" ht="28" customHeight="1" spans="1:15">
      <c r="A84" s="10">
        <v>81</v>
      </c>
      <c r="B84" s="10" t="s">
        <v>28</v>
      </c>
      <c r="C84" s="10" t="s">
        <v>29</v>
      </c>
      <c r="D84" s="10" t="str">
        <f>"王培三"</f>
        <v>王培三</v>
      </c>
      <c r="E84" s="39">
        <v>0</v>
      </c>
      <c r="F84" s="39">
        <v>0</v>
      </c>
      <c r="G84" s="39">
        <v>0</v>
      </c>
      <c r="H84" s="39">
        <v>0</v>
      </c>
      <c r="I84" s="39">
        <v>0</v>
      </c>
      <c r="J84" s="39">
        <v>0</v>
      </c>
      <c r="K84" s="39">
        <v>0</v>
      </c>
      <c r="L84" s="10">
        <v>0</v>
      </c>
      <c r="M84" s="10" t="s">
        <v>17</v>
      </c>
      <c r="N84" s="10" t="s">
        <v>19</v>
      </c>
      <c r="O84" s="10"/>
    </row>
    <row r="85" s="1" customFormat="1" ht="28" customHeight="1" spans="1:15">
      <c r="A85" s="10">
        <v>82</v>
      </c>
      <c r="B85" s="10" t="s">
        <v>28</v>
      </c>
      <c r="C85" s="10" t="s">
        <v>29</v>
      </c>
      <c r="D85" s="10" t="str">
        <f>"黎佳佳"</f>
        <v>黎佳佳</v>
      </c>
      <c r="E85" s="39">
        <v>0</v>
      </c>
      <c r="F85" s="39">
        <v>0</v>
      </c>
      <c r="G85" s="39">
        <v>0</v>
      </c>
      <c r="H85" s="39">
        <v>0</v>
      </c>
      <c r="I85" s="39">
        <v>0</v>
      </c>
      <c r="J85" s="39">
        <v>0</v>
      </c>
      <c r="K85" s="39">
        <v>0</v>
      </c>
      <c r="L85" s="10">
        <v>0</v>
      </c>
      <c r="M85" s="10" t="s">
        <v>17</v>
      </c>
      <c r="N85" s="10" t="s">
        <v>19</v>
      </c>
      <c r="O85" s="10"/>
    </row>
    <row r="86" s="1" customFormat="1" ht="28" customHeight="1" spans="1:15">
      <c r="A86" s="10">
        <v>83</v>
      </c>
      <c r="B86" s="10" t="s">
        <v>28</v>
      </c>
      <c r="C86" s="10" t="s">
        <v>29</v>
      </c>
      <c r="D86" s="10" t="str">
        <f>"吴智琴"</f>
        <v>吴智琴</v>
      </c>
      <c r="E86" s="39">
        <v>0</v>
      </c>
      <c r="F86" s="39">
        <v>0</v>
      </c>
      <c r="G86" s="39">
        <v>0</v>
      </c>
      <c r="H86" s="39">
        <v>0</v>
      </c>
      <c r="I86" s="39">
        <v>0</v>
      </c>
      <c r="J86" s="39">
        <v>0</v>
      </c>
      <c r="K86" s="39">
        <v>0</v>
      </c>
      <c r="L86" s="10">
        <v>0</v>
      </c>
      <c r="M86" s="10" t="s">
        <v>17</v>
      </c>
      <c r="N86" s="10" t="s">
        <v>19</v>
      </c>
      <c r="O86" s="10"/>
    </row>
    <row r="87" s="1" customFormat="1" ht="28" customHeight="1" spans="1:15">
      <c r="A87" s="10">
        <v>84</v>
      </c>
      <c r="B87" s="10" t="s">
        <v>28</v>
      </c>
      <c r="C87" s="10" t="s">
        <v>29</v>
      </c>
      <c r="D87" s="10" t="str">
        <f>"李克宇"</f>
        <v>李克宇</v>
      </c>
      <c r="E87" s="39">
        <v>0</v>
      </c>
      <c r="F87" s="39">
        <v>0</v>
      </c>
      <c r="G87" s="39">
        <v>0</v>
      </c>
      <c r="H87" s="39">
        <v>0</v>
      </c>
      <c r="I87" s="39">
        <v>0</v>
      </c>
      <c r="J87" s="39">
        <v>0</v>
      </c>
      <c r="K87" s="39">
        <v>0</v>
      </c>
      <c r="L87" s="10">
        <v>0</v>
      </c>
      <c r="M87" s="10" t="s">
        <v>17</v>
      </c>
      <c r="N87" s="10" t="s">
        <v>19</v>
      </c>
      <c r="O87" s="10"/>
    </row>
  </sheetData>
  <sheetProtection password="9F33" sheet="1" objects="1"/>
  <sortState ref="D3:L86">
    <sortCondition ref="L3:L86" descending="1"/>
  </sortState>
  <mergeCells count="10">
    <mergeCell ref="A1:O1"/>
    <mergeCell ref="E2:K2"/>
    <mergeCell ref="A2:A3"/>
    <mergeCell ref="B2:B3"/>
    <mergeCell ref="C2:C3"/>
    <mergeCell ref="D2:D3"/>
    <mergeCell ref="L2:L3"/>
    <mergeCell ref="M2:M3"/>
    <mergeCell ref="N2:N3"/>
    <mergeCell ref="O2:O3"/>
  </mergeCells>
  <pageMargins left="0.700694444444445" right="0.700694444444445" top="0.751388888888889" bottom="0.751388888888889" header="0.297916666666667" footer="0.297916666666667"/>
  <pageSetup paperSize="9" scale="85"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35"/>
  <sheetViews>
    <sheetView topLeftCell="A28" workbookViewId="0">
      <selection activeCell="N16" sqref="N16"/>
    </sheetView>
  </sheetViews>
  <sheetFormatPr defaultColWidth="8.70833333333333" defaultRowHeight="13.5"/>
  <cols>
    <col min="1" max="1" width="4.875" style="4" customWidth="1"/>
    <col min="2" max="2" width="13.75" style="4" customWidth="1"/>
    <col min="3" max="3" width="24.875" style="4" customWidth="1"/>
    <col min="4" max="4" width="9.625" style="4" customWidth="1"/>
    <col min="5" max="11" width="16.625" style="28" customWidth="1"/>
    <col min="12" max="13" width="9.625" style="4" customWidth="1"/>
    <col min="14" max="14" width="9.625" style="28" customWidth="1"/>
    <col min="15" max="15" width="6.625" style="4" customWidth="1"/>
    <col min="16" max="16384" width="8.70833333333333" style="4"/>
  </cols>
  <sheetData>
    <row r="1" s="34" customFormat="1" ht="85" customHeight="1" spans="1:15">
      <c r="A1" s="5" t="s">
        <v>0</v>
      </c>
      <c r="B1" s="29"/>
      <c r="C1" s="29"/>
      <c r="D1" s="29"/>
      <c r="E1" s="5"/>
      <c r="F1" s="5"/>
      <c r="G1" s="5"/>
      <c r="H1" s="5"/>
      <c r="I1" s="5"/>
      <c r="J1" s="5"/>
      <c r="K1" s="5"/>
      <c r="L1" s="29"/>
      <c r="M1" s="29"/>
      <c r="N1" s="5"/>
      <c r="O1" s="29"/>
    </row>
    <row r="2" s="34" customFormat="1" ht="28" customHeight="1" spans="1:15">
      <c r="A2" s="7" t="s">
        <v>1</v>
      </c>
      <c r="B2" s="6" t="s">
        <v>2</v>
      </c>
      <c r="C2" s="6" t="s">
        <v>3</v>
      </c>
      <c r="D2" s="6" t="s">
        <v>4</v>
      </c>
      <c r="E2" s="7" t="s">
        <v>5</v>
      </c>
      <c r="F2" s="7"/>
      <c r="G2" s="7"/>
      <c r="H2" s="7"/>
      <c r="I2" s="7"/>
      <c r="J2" s="7"/>
      <c r="K2" s="7"/>
      <c r="L2" s="7" t="s">
        <v>20</v>
      </c>
      <c r="M2" s="19" t="s">
        <v>7</v>
      </c>
      <c r="N2" s="19" t="s">
        <v>8</v>
      </c>
      <c r="O2" s="24" t="s">
        <v>9</v>
      </c>
    </row>
    <row r="3" s="35" customFormat="1" ht="144" customHeight="1" spans="1:15">
      <c r="A3" s="7"/>
      <c r="B3" s="6"/>
      <c r="C3" s="6"/>
      <c r="D3" s="6"/>
      <c r="E3" s="7" t="s">
        <v>21</v>
      </c>
      <c r="F3" s="7" t="s">
        <v>22</v>
      </c>
      <c r="G3" s="7" t="s">
        <v>23</v>
      </c>
      <c r="H3" s="7" t="s">
        <v>24</v>
      </c>
      <c r="I3" s="7" t="s">
        <v>25</v>
      </c>
      <c r="J3" s="7" t="s">
        <v>26</v>
      </c>
      <c r="K3" s="7" t="s">
        <v>30</v>
      </c>
      <c r="L3" s="7"/>
      <c r="M3" s="20"/>
      <c r="N3" s="20"/>
      <c r="O3" s="25"/>
    </row>
    <row r="4" s="34" customFormat="1" ht="28" customHeight="1" spans="1:15">
      <c r="A4" s="8">
        <v>1</v>
      </c>
      <c r="B4" s="8" t="s">
        <v>31</v>
      </c>
      <c r="C4" s="8" t="s">
        <v>29</v>
      </c>
      <c r="D4" s="8" t="str">
        <f>"刘雪"</f>
        <v>刘雪</v>
      </c>
      <c r="E4" s="9">
        <v>8</v>
      </c>
      <c r="F4" s="9">
        <v>0</v>
      </c>
      <c r="G4" s="9">
        <v>10</v>
      </c>
      <c r="H4" s="9">
        <v>0</v>
      </c>
      <c r="I4" s="9">
        <v>0</v>
      </c>
      <c r="J4" s="9">
        <v>0</v>
      </c>
      <c r="K4" s="9">
        <v>2</v>
      </c>
      <c r="L4" s="8">
        <v>20</v>
      </c>
      <c r="M4" s="8" t="s">
        <v>17</v>
      </c>
      <c r="N4" s="9" t="s">
        <v>18</v>
      </c>
      <c r="O4" s="8"/>
    </row>
    <row r="5" s="34" customFormat="1" ht="28" customHeight="1" spans="1:15">
      <c r="A5" s="8">
        <v>2</v>
      </c>
      <c r="B5" s="8" t="s">
        <v>31</v>
      </c>
      <c r="C5" s="8" t="s">
        <v>29</v>
      </c>
      <c r="D5" s="8" t="str">
        <f>"李翰茗"</f>
        <v>李翰茗</v>
      </c>
      <c r="E5" s="9">
        <v>6</v>
      </c>
      <c r="F5" s="9">
        <v>0</v>
      </c>
      <c r="G5" s="9">
        <v>6</v>
      </c>
      <c r="H5" s="9">
        <v>0</v>
      </c>
      <c r="I5" s="9">
        <v>0</v>
      </c>
      <c r="J5" s="9">
        <v>0</v>
      </c>
      <c r="K5" s="9">
        <v>0</v>
      </c>
      <c r="L5" s="8">
        <v>12</v>
      </c>
      <c r="M5" s="8" t="s">
        <v>17</v>
      </c>
      <c r="N5" s="9" t="s">
        <v>18</v>
      </c>
      <c r="O5" s="8"/>
    </row>
    <row r="6" s="34" customFormat="1" ht="28" customHeight="1" spans="1:15">
      <c r="A6" s="8">
        <v>3</v>
      </c>
      <c r="B6" s="8" t="s">
        <v>31</v>
      </c>
      <c r="C6" s="8" t="s">
        <v>29</v>
      </c>
      <c r="D6" s="8" t="str">
        <f>"康斐涵"</f>
        <v>康斐涵</v>
      </c>
      <c r="E6" s="9">
        <v>6</v>
      </c>
      <c r="F6" s="9">
        <v>0</v>
      </c>
      <c r="G6" s="9">
        <v>0</v>
      </c>
      <c r="H6" s="9">
        <v>0</v>
      </c>
      <c r="I6" s="9">
        <v>0</v>
      </c>
      <c r="J6" s="9">
        <v>0</v>
      </c>
      <c r="K6" s="9">
        <v>0</v>
      </c>
      <c r="L6" s="8">
        <v>6</v>
      </c>
      <c r="M6" s="8" t="s">
        <v>17</v>
      </c>
      <c r="N6" s="9" t="s">
        <v>18</v>
      </c>
      <c r="O6" s="8"/>
    </row>
    <row r="7" s="34" customFormat="1" ht="28" customHeight="1" spans="1:15">
      <c r="A7" s="8">
        <v>4</v>
      </c>
      <c r="B7" s="8" t="s">
        <v>31</v>
      </c>
      <c r="C7" s="8" t="s">
        <v>29</v>
      </c>
      <c r="D7" s="8" t="str">
        <f>"翟方瑞"</f>
        <v>翟方瑞</v>
      </c>
      <c r="E7" s="9">
        <v>0</v>
      </c>
      <c r="F7" s="9">
        <v>0</v>
      </c>
      <c r="G7" s="9">
        <v>6</v>
      </c>
      <c r="H7" s="9">
        <v>0</v>
      </c>
      <c r="I7" s="9">
        <v>0</v>
      </c>
      <c r="J7" s="9">
        <v>0</v>
      </c>
      <c r="K7" s="9">
        <v>0</v>
      </c>
      <c r="L7" s="8">
        <v>6</v>
      </c>
      <c r="M7" s="8" t="s">
        <v>17</v>
      </c>
      <c r="N7" s="9" t="s">
        <v>18</v>
      </c>
      <c r="O7" s="8"/>
    </row>
    <row r="8" s="34" customFormat="1" ht="28" customHeight="1" spans="1:15">
      <c r="A8" s="8">
        <v>5</v>
      </c>
      <c r="B8" s="8" t="s">
        <v>31</v>
      </c>
      <c r="C8" s="8" t="s">
        <v>29</v>
      </c>
      <c r="D8" s="8" t="str">
        <f>"林维周"</f>
        <v>林维周</v>
      </c>
      <c r="E8" s="9">
        <v>0</v>
      </c>
      <c r="F8" s="9">
        <v>0</v>
      </c>
      <c r="G8" s="9">
        <v>2</v>
      </c>
      <c r="H8" s="9">
        <v>0</v>
      </c>
      <c r="I8" s="9">
        <v>0</v>
      </c>
      <c r="J8" s="9">
        <v>0</v>
      </c>
      <c r="K8" s="9">
        <v>2</v>
      </c>
      <c r="L8" s="8">
        <v>4</v>
      </c>
      <c r="M8" s="8" t="s">
        <v>17</v>
      </c>
      <c r="N8" s="9" t="s">
        <v>18</v>
      </c>
      <c r="O8" s="8"/>
    </row>
    <row r="9" s="34" customFormat="1" ht="28" customHeight="1" spans="1:15">
      <c r="A9" s="8">
        <v>6</v>
      </c>
      <c r="B9" s="8" t="s">
        <v>31</v>
      </c>
      <c r="C9" s="8" t="s">
        <v>29</v>
      </c>
      <c r="D9" s="8" t="str">
        <f>"林先云"</f>
        <v>林先云</v>
      </c>
      <c r="E9" s="9">
        <v>2</v>
      </c>
      <c r="F9" s="9">
        <v>0</v>
      </c>
      <c r="G9" s="9">
        <v>0</v>
      </c>
      <c r="H9" s="9">
        <v>0</v>
      </c>
      <c r="I9" s="9">
        <v>0</v>
      </c>
      <c r="J9" s="9">
        <v>0</v>
      </c>
      <c r="K9" s="9">
        <v>0</v>
      </c>
      <c r="L9" s="8">
        <v>2</v>
      </c>
      <c r="M9" s="8" t="s">
        <v>17</v>
      </c>
      <c r="N9" s="9" t="s">
        <v>18</v>
      </c>
      <c r="O9" s="8"/>
    </row>
    <row r="10" s="34" customFormat="1" ht="28" customHeight="1" spans="1:15">
      <c r="A10" s="8">
        <v>7</v>
      </c>
      <c r="B10" s="8" t="s">
        <v>31</v>
      </c>
      <c r="C10" s="8" t="s">
        <v>29</v>
      </c>
      <c r="D10" s="8" t="str">
        <f>"郑香星"</f>
        <v>郑香星</v>
      </c>
      <c r="E10" s="9">
        <v>0</v>
      </c>
      <c r="F10" s="9">
        <v>0</v>
      </c>
      <c r="G10" s="9">
        <v>0</v>
      </c>
      <c r="H10" s="9">
        <v>0</v>
      </c>
      <c r="I10" s="9">
        <v>0</v>
      </c>
      <c r="J10" s="9">
        <v>0</v>
      </c>
      <c r="K10" s="9">
        <v>2</v>
      </c>
      <c r="L10" s="8">
        <v>2</v>
      </c>
      <c r="M10" s="8" t="s">
        <v>17</v>
      </c>
      <c r="N10" s="9" t="s">
        <v>18</v>
      </c>
      <c r="O10" s="8"/>
    </row>
    <row r="11" s="34" customFormat="1" ht="28" customHeight="1" spans="1:15">
      <c r="A11" s="8">
        <v>8</v>
      </c>
      <c r="B11" s="8" t="s">
        <v>31</v>
      </c>
      <c r="C11" s="8" t="s">
        <v>29</v>
      </c>
      <c r="D11" s="8" t="str">
        <f>"李佳欣"</f>
        <v>李佳欣</v>
      </c>
      <c r="E11" s="9">
        <v>2</v>
      </c>
      <c r="F11" s="9">
        <v>0</v>
      </c>
      <c r="G11" s="9">
        <v>0</v>
      </c>
      <c r="H11" s="9">
        <v>0</v>
      </c>
      <c r="I11" s="9">
        <v>0</v>
      </c>
      <c r="J11" s="9">
        <v>0</v>
      </c>
      <c r="K11" s="9">
        <v>0</v>
      </c>
      <c r="L11" s="8">
        <v>2</v>
      </c>
      <c r="M11" s="8" t="s">
        <v>17</v>
      </c>
      <c r="N11" s="9" t="s">
        <v>18</v>
      </c>
      <c r="O11" s="8"/>
    </row>
    <row r="12" s="34" customFormat="1" ht="28" customHeight="1" spans="1:15">
      <c r="A12" s="8">
        <v>9</v>
      </c>
      <c r="B12" s="8" t="s">
        <v>31</v>
      </c>
      <c r="C12" s="8" t="s">
        <v>29</v>
      </c>
      <c r="D12" s="8" t="str">
        <f>"徐涛"</f>
        <v>徐涛</v>
      </c>
      <c r="E12" s="9">
        <v>0</v>
      </c>
      <c r="F12" s="9">
        <v>0</v>
      </c>
      <c r="G12" s="9">
        <v>0</v>
      </c>
      <c r="H12" s="9">
        <v>0</v>
      </c>
      <c r="I12" s="9">
        <v>0</v>
      </c>
      <c r="J12" s="9">
        <v>0</v>
      </c>
      <c r="K12" s="9">
        <v>2</v>
      </c>
      <c r="L12" s="8">
        <v>2</v>
      </c>
      <c r="M12" s="8" t="s">
        <v>17</v>
      </c>
      <c r="N12" s="9" t="s">
        <v>18</v>
      </c>
      <c r="O12" s="8"/>
    </row>
    <row r="13" s="34" customFormat="1" ht="28" customHeight="1" spans="1:15">
      <c r="A13" s="8">
        <v>10</v>
      </c>
      <c r="B13" s="8" t="s">
        <v>31</v>
      </c>
      <c r="C13" s="8" t="s">
        <v>29</v>
      </c>
      <c r="D13" s="8" t="str">
        <f>"陈佳茗"</f>
        <v>陈佳茗</v>
      </c>
      <c r="E13" s="9">
        <v>0</v>
      </c>
      <c r="F13" s="9">
        <v>0</v>
      </c>
      <c r="G13" s="9">
        <v>0</v>
      </c>
      <c r="H13" s="9">
        <v>0</v>
      </c>
      <c r="I13" s="9">
        <v>0</v>
      </c>
      <c r="J13" s="9">
        <v>0</v>
      </c>
      <c r="K13" s="9">
        <v>2</v>
      </c>
      <c r="L13" s="8">
        <v>2</v>
      </c>
      <c r="M13" s="8" t="s">
        <v>17</v>
      </c>
      <c r="N13" s="9" t="s">
        <v>18</v>
      </c>
      <c r="O13" s="8"/>
    </row>
    <row r="14" s="34" customFormat="1" ht="28" customHeight="1" spans="1:15">
      <c r="A14" s="8">
        <v>11</v>
      </c>
      <c r="B14" s="8" t="s">
        <v>31</v>
      </c>
      <c r="C14" s="8" t="s">
        <v>29</v>
      </c>
      <c r="D14" s="8" t="str">
        <f>"吴贞标"</f>
        <v>吴贞标</v>
      </c>
      <c r="E14" s="9">
        <v>0</v>
      </c>
      <c r="F14" s="9">
        <v>0</v>
      </c>
      <c r="G14" s="9">
        <v>2</v>
      </c>
      <c r="H14" s="9">
        <v>0</v>
      </c>
      <c r="I14" s="9">
        <v>0</v>
      </c>
      <c r="J14" s="9">
        <v>0</v>
      </c>
      <c r="K14" s="9">
        <v>0</v>
      </c>
      <c r="L14" s="8">
        <v>2</v>
      </c>
      <c r="M14" s="8" t="s">
        <v>17</v>
      </c>
      <c r="N14" s="9" t="s">
        <v>18</v>
      </c>
      <c r="O14" s="8"/>
    </row>
    <row r="15" s="34" customFormat="1" ht="28" customHeight="1" spans="1:15">
      <c r="A15" s="8">
        <v>12</v>
      </c>
      <c r="B15" s="8" t="s">
        <v>31</v>
      </c>
      <c r="C15" s="8" t="s">
        <v>29</v>
      </c>
      <c r="D15" s="8" t="str">
        <f>"林原妃"</f>
        <v>林原妃</v>
      </c>
      <c r="E15" s="9">
        <v>0</v>
      </c>
      <c r="F15" s="9">
        <v>0</v>
      </c>
      <c r="G15" s="9">
        <v>0</v>
      </c>
      <c r="H15" s="9">
        <v>0</v>
      </c>
      <c r="I15" s="9">
        <v>0</v>
      </c>
      <c r="J15" s="9">
        <v>0</v>
      </c>
      <c r="K15" s="9">
        <v>2</v>
      </c>
      <c r="L15" s="8">
        <v>2</v>
      </c>
      <c r="M15" s="8" t="s">
        <v>17</v>
      </c>
      <c r="N15" s="9" t="s">
        <v>18</v>
      </c>
      <c r="O15" s="8"/>
    </row>
    <row r="16" s="34" customFormat="1" ht="28" customHeight="1" spans="1:15">
      <c r="A16" s="8">
        <v>13</v>
      </c>
      <c r="B16" s="8" t="s">
        <v>31</v>
      </c>
      <c r="C16" s="8" t="s">
        <v>29</v>
      </c>
      <c r="D16" s="8" t="str">
        <f>"杨斯璞"</f>
        <v>杨斯璞</v>
      </c>
      <c r="E16" s="9">
        <v>0</v>
      </c>
      <c r="F16" s="9">
        <v>0</v>
      </c>
      <c r="G16" s="9">
        <v>0</v>
      </c>
      <c r="H16" s="9">
        <v>0</v>
      </c>
      <c r="I16" s="9">
        <v>0</v>
      </c>
      <c r="J16" s="9">
        <v>0</v>
      </c>
      <c r="K16" s="9">
        <v>0</v>
      </c>
      <c r="L16" s="8">
        <v>0</v>
      </c>
      <c r="M16" s="8" t="s">
        <v>17</v>
      </c>
      <c r="N16" s="9" t="s">
        <v>19</v>
      </c>
      <c r="O16" s="8"/>
    </row>
    <row r="17" s="34" customFormat="1" ht="28" customHeight="1" spans="1:15">
      <c r="A17" s="8">
        <v>14</v>
      </c>
      <c r="B17" s="8" t="s">
        <v>31</v>
      </c>
      <c r="C17" s="8" t="s">
        <v>29</v>
      </c>
      <c r="D17" s="8" t="str">
        <f>"黄梦芝"</f>
        <v>黄梦芝</v>
      </c>
      <c r="E17" s="9">
        <v>0</v>
      </c>
      <c r="F17" s="9">
        <v>0</v>
      </c>
      <c r="G17" s="9">
        <v>0</v>
      </c>
      <c r="H17" s="9">
        <v>0</v>
      </c>
      <c r="I17" s="9">
        <v>0</v>
      </c>
      <c r="J17" s="9">
        <v>0</v>
      </c>
      <c r="K17" s="9">
        <v>0</v>
      </c>
      <c r="L17" s="8">
        <v>0</v>
      </c>
      <c r="M17" s="8" t="s">
        <v>17</v>
      </c>
      <c r="N17" s="9" t="s">
        <v>19</v>
      </c>
      <c r="O17" s="8"/>
    </row>
    <row r="18" s="34" customFormat="1" ht="28" customHeight="1" spans="1:15">
      <c r="A18" s="8">
        <v>15</v>
      </c>
      <c r="B18" s="8" t="s">
        <v>31</v>
      </c>
      <c r="C18" s="8" t="s">
        <v>29</v>
      </c>
      <c r="D18" s="8" t="str">
        <f>"王腾毅"</f>
        <v>王腾毅</v>
      </c>
      <c r="E18" s="9">
        <v>0</v>
      </c>
      <c r="F18" s="9">
        <v>0</v>
      </c>
      <c r="G18" s="9">
        <v>0</v>
      </c>
      <c r="H18" s="9">
        <v>0</v>
      </c>
      <c r="I18" s="9">
        <v>0</v>
      </c>
      <c r="J18" s="9">
        <v>0</v>
      </c>
      <c r="K18" s="9">
        <v>0</v>
      </c>
      <c r="L18" s="8">
        <v>0</v>
      </c>
      <c r="M18" s="8" t="s">
        <v>17</v>
      </c>
      <c r="N18" s="9" t="s">
        <v>19</v>
      </c>
      <c r="O18" s="8"/>
    </row>
    <row r="19" s="34" customFormat="1" ht="28" customHeight="1" spans="1:15">
      <c r="A19" s="8">
        <v>16</v>
      </c>
      <c r="B19" s="8" t="s">
        <v>31</v>
      </c>
      <c r="C19" s="8" t="s">
        <v>29</v>
      </c>
      <c r="D19" s="8" t="str">
        <f>"田乙博"</f>
        <v>田乙博</v>
      </c>
      <c r="E19" s="9">
        <v>0</v>
      </c>
      <c r="F19" s="9">
        <v>0</v>
      </c>
      <c r="G19" s="9">
        <v>0</v>
      </c>
      <c r="H19" s="9">
        <v>0</v>
      </c>
      <c r="I19" s="9">
        <v>0</v>
      </c>
      <c r="J19" s="9">
        <v>0</v>
      </c>
      <c r="K19" s="9">
        <v>0</v>
      </c>
      <c r="L19" s="8">
        <v>0</v>
      </c>
      <c r="M19" s="8" t="s">
        <v>17</v>
      </c>
      <c r="N19" s="9" t="s">
        <v>19</v>
      </c>
      <c r="O19" s="8"/>
    </row>
    <row r="20" s="34" customFormat="1" ht="28" customHeight="1" spans="1:15">
      <c r="A20" s="8">
        <v>17</v>
      </c>
      <c r="B20" s="8" t="s">
        <v>31</v>
      </c>
      <c r="C20" s="8" t="s">
        <v>29</v>
      </c>
      <c r="D20" s="8" t="str">
        <f>"陶磊"</f>
        <v>陶磊</v>
      </c>
      <c r="E20" s="9">
        <v>0</v>
      </c>
      <c r="F20" s="9">
        <v>0</v>
      </c>
      <c r="G20" s="9">
        <v>0</v>
      </c>
      <c r="H20" s="9">
        <v>0</v>
      </c>
      <c r="I20" s="9">
        <v>0</v>
      </c>
      <c r="J20" s="9">
        <v>0</v>
      </c>
      <c r="K20" s="9">
        <v>0</v>
      </c>
      <c r="L20" s="8">
        <v>0</v>
      </c>
      <c r="M20" s="8" t="s">
        <v>17</v>
      </c>
      <c r="N20" s="9" t="s">
        <v>19</v>
      </c>
      <c r="O20" s="8"/>
    </row>
    <row r="21" s="34" customFormat="1" ht="28" customHeight="1" spans="1:15">
      <c r="A21" s="8">
        <v>18</v>
      </c>
      <c r="B21" s="8" t="s">
        <v>31</v>
      </c>
      <c r="C21" s="8" t="s">
        <v>29</v>
      </c>
      <c r="D21" s="8" t="str">
        <f>"王琳"</f>
        <v>王琳</v>
      </c>
      <c r="E21" s="9">
        <v>0</v>
      </c>
      <c r="F21" s="9">
        <v>0</v>
      </c>
      <c r="G21" s="9">
        <v>0</v>
      </c>
      <c r="H21" s="9">
        <v>0</v>
      </c>
      <c r="I21" s="9">
        <v>0</v>
      </c>
      <c r="J21" s="9">
        <v>0</v>
      </c>
      <c r="K21" s="9">
        <v>0</v>
      </c>
      <c r="L21" s="8">
        <v>0</v>
      </c>
      <c r="M21" s="8" t="s">
        <v>17</v>
      </c>
      <c r="N21" s="9" t="s">
        <v>19</v>
      </c>
      <c r="O21" s="8"/>
    </row>
    <row r="22" s="34" customFormat="1" ht="28" customHeight="1" spans="1:15">
      <c r="A22" s="8">
        <v>19</v>
      </c>
      <c r="B22" s="8" t="s">
        <v>31</v>
      </c>
      <c r="C22" s="8" t="s">
        <v>29</v>
      </c>
      <c r="D22" s="8" t="str">
        <f>"黄慧"</f>
        <v>黄慧</v>
      </c>
      <c r="E22" s="9">
        <v>0</v>
      </c>
      <c r="F22" s="9">
        <v>0</v>
      </c>
      <c r="G22" s="9">
        <v>0</v>
      </c>
      <c r="H22" s="9">
        <v>0</v>
      </c>
      <c r="I22" s="9">
        <v>0</v>
      </c>
      <c r="J22" s="9">
        <v>0</v>
      </c>
      <c r="K22" s="9">
        <v>0</v>
      </c>
      <c r="L22" s="8">
        <v>0</v>
      </c>
      <c r="M22" s="8" t="s">
        <v>17</v>
      </c>
      <c r="N22" s="9" t="s">
        <v>19</v>
      </c>
      <c r="O22" s="8"/>
    </row>
    <row r="23" s="34" customFormat="1" ht="28" customHeight="1" spans="1:15">
      <c r="A23" s="8">
        <v>20</v>
      </c>
      <c r="B23" s="8" t="s">
        <v>31</v>
      </c>
      <c r="C23" s="8" t="s">
        <v>29</v>
      </c>
      <c r="D23" s="8" t="str">
        <f>"林盈"</f>
        <v>林盈</v>
      </c>
      <c r="E23" s="9">
        <v>0</v>
      </c>
      <c r="F23" s="9">
        <v>0</v>
      </c>
      <c r="G23" s="9">
        <v>0</v>
      </c>
      <c r="H23" s="9">
        <v>0</v>
      </c>
      <c r="I23" s="9">
        <v>0</v>
      </c>
      <c r="J23" s="9">
        <v>0</v>
      </c>
      <c r="K23" s="9">
        <v>0</v>
      </c>
      <c r="L23" s="8">
        <v>0</v>
      </c>
      <c r="M23" s="8" t="s">
        <v>17</v>
      </c>
      <c r="N23" s="9" t="s">
        <v>19</v>
      </c>
      <c r="O23" s="8"/>
    </row>
    <row r="24" s="34" customFormat="1" ht="28" customHeight="1" spans="1:15">
      <c r="A24" s="8">
        <v>21</v>
      </c>
      <c r="B24" s="8" t="s">
        <v>31</v>
      </c>
      <c r="C24" s="8" t="s">
        <v>29</v>
      </c>
      <c r="D24" s="8" t="str">
        <f>"张梓萱"</f>
        <v>张梓萱</v>
      </c>
      <c r="E24" s="9">
        <v>0</v>
      </c>
      <c r="F24" s="9">
        <v>0</v>
      </c>
      <c r="G24" s="9">
        <v>0</v>
      </c>
      <c r="H24" s="9">
        <v>0</v>
      </c>
      <c r="I24" s="9">
        <v>0</v>
      </c>
      <c r="J24" s="9">
        <v>0</v>
      </c>
      <c r="K24" s="9">
        <v>0</v>
      </c>
      <c r="L24" s="8">
        <v>0</v>
      </c>
      <c r="M24" s="8" t="s">
        <v>17</v>
      </c>
      <c r="N24" s="9" t="s">
        <v>19</v>
      </c>
      <c r="O24" s="8"/>
    </row>
    <row r="25" s="34" customFormat="1" ht="28" customHeight="1" spans="1:15">
      <c r="A25" s="8">
        <v>22</v>
      </c>
      <c r="B25" s="8" t="s">
        <v>31</v>
      </c>
      <c r="C25" s="8" t="s">
        <v>29</v>
      </c>
      <c r="D25" s="8" t="str">
        <f>"李挺东"</f>
        <v>李挺东</v>
      </c>
      <c r="E25" s="9">
        <v>0</v>
      </c>
      <c r="F25" s="9">
        <v>0</v>
      </c>
      <c r="G25" s="9">
        <v>0</v>
      </c>
      <c r="H25" s="9">
        <v>0</v>
      </c>
      <c r="I25" s="9">
        <v>0</v>
      </c>
      <c r="J25" s="9">
        <v>0</v>
      </c>
      <c r="K25" s="9">
        <v>0</v>
      </c>
      <c r="L25" s="8">
        <v>0</v>
      </c>
      <c r="M25" s="8" t="s">
        <v>17</v>
      </c>
      <c r="N25" s="9" t="s">
        <v>19</v>
      </c>
      <c r="O25" s="8"/>
    </row>
    <row r="26" s="34" customFormat="1" ht="28" customHeight="1" spans="1:15">
      <c r="A26" s="8">
        <v>23</v>
      </c>
      <c r="B26" s="8" t="s">
        <v>31</v>
      </c>
      <c r="C26" s="8" t="s">
        <v>29</v>
      </c>
      <c r="D26" s="8" t="str">
        <f>"陈思帆"</f>
        <v>陈思帆</v>
      </c>
      <c r="E26" s="9">
        <v>0</v>
      </c>
      <c r="F26" s="9">
        <v>0</v>
      </c>
      <c r="G26" s="9">
        <v>0</v>
      </c>
      <c r="H26" s="9">
        <v>0</v>
      </c>
      <c r="I26" s="9">
        <v>0</v>
      </c>
      <c r="J26" s="9">
        <v>0</v>
      </c>
      <c r="K26" s="9">
        <v>0</v>
      </c>
      <c r="L26" s="8">
        <v>0</v>
      </c>
      <c r="M26" s="8" t="s">
        <v>17</v>
      </c>
      <c r="N26" s="9" t="s">
        <v>19</v>
      </c>
      <c r="O26" s="8"/>
    </row>
    <row r="27" s="34" customFormat="1" ht="28" customHeight="1" spans="1:15">
      <c r="A27" s="8">
        <v>24</v>
      </c>
      <c r="B27" s="8" t="s">
        <v>31</v>
      </c>
      <c r="C27" s="8" t="s">
        <v>29</v>
      </c>
      <c r="D27" s="8" t="str">
        <f>"王小慧"</f>
        <v>王小慧</v>
      </c>
      <c r="E27" s="9">
        <v>0</v>
      </c>
      <c r="F27" s="9">
        <v>0</v>
      </c>
      <c r="G27" s="9">
        <v>0</v>
      </c>
      <c r="H27" s="9">
        <v>0</v>
      </c>
      <c r="I27" s="9">
        <v>0</v>
      </c>
      <c r="J27" s="9">
        <v>0</v>
      </c>
      <c r="K27" s="9">
        <v>0</v>
      </c>
      <c r="L27" s="8">
        <v>0</v>
      </c>
      <c r="M27" s="8" t="s">
        <v>17</v>
      </c>
      <c r="N27" s="9" t="s">
        <v>19</v>
      </c>
      <c r="O27" s="8"/>
    </row>
    <row r="28" s="34" customFormat="1" ht="28" customHeight="1" spans="1:15">
      <c r="A28" s="8">
        <v>25</v>
      </c>
      <c r="B28" s="8" t="s">
        <v>31</v>
      </c>
      <c r="C28" s="8" t="s">
        <v>29</v>
      </c>
      <c r="D28" s="8" t="str">
        <f>"王思洁"</f>
        <v>王思洁</v>
      </c>
      <c r="E28" s="9">
        <v>0</v>
      </c>
      <c r="F28" s="9">
        <v>0</v>
      </c>
      <c r="G28" s="9">
        <v>0</v>
      </c>
      <c r="H28" s="9">
        <v>0</v>
      </c>
      <c r="I28" s="9">
        <v>0</v>
      </c>
      <c r="J28" s="9">
        <v>0</v>
      </c>
      <c r="K28" s="9">
        <v>0</v>
      </c>
      <c r="L28" s="8">
        <v>0</v>
      </c>
      <c r="M28" s="8" t="s">
        <v>17</v>
      </c>
      <c r="N28" s="9" t="s">
        <v>19</v>
      </c>
      <c r="O28" s="8"/>
    </row>
    <row r="29" s="34" customFormat="1" ht="28" customHeight="1" spans="1:15">
      <c r="A29" s="8">
        <v>26</v>
      </c>
      <c r="B29" s="8" t="s">
        <v>31</v>
      </c>
      <c r="C29" s="8" t="s">
        <v>29</v>
      </c>
      <c r="D29" s="8" t="str">
        <f>"黎惠姗"</f>
        <v>黎惠姗</v>
      </c>
      <c r="E29" s="9">
        <v>0</v>
      </c>
      <c r="F29" s="9">
        <v>0</v>
      </c>
      <c r="G29" s="9">
        <v>0</v>
      </c>
      <c r="H29" s="9">
        <v>0</v>
      </c>
      <c r="I29" s="9">
        <v>0</v>
      </c>
      <c r="J29" s="9">
        <v>0</v>
      </c>
      <c r="K29" s="9">
        <v>0</v>
      </c>
      <c r="L29" s="8">
        <v>0</v>
      </c>
      <c r="M29" s="8" t="s">
        <v>17</v>
      </c>
      <c r="N29" s="9" t="s">
        <v>19</v>
      </c>
      <c r="O29" s="8"/>
    </row>
    <row r="30" s="34" customFormat="1" ht="28" customHeight="1" spans="1:15">
      <c r="A30" s="8">
        <v>27</v>
      </c>
      <c r="B30" s="8" t="s">
        <v>31</v>
      </c>
      <c r="C30" s="8" t="s">
        <v>29</v>
      </c>
      <c r="D30" s="8" t="str">
        <f>"史东升"</f>
        <v>史东升</v>
      </c>
      <c r="E30" s="9">
        <v>0</v>
      </c>
      <c r="F30" s="9">
        <v>0</v>
      </c>
      <c r="G30" s="9">
        <v>0</v>
      </c>
      <c r="H30" s="9">
        <v>0</v>
      </c>
      <c r="I30" s="9">
        <v>0</v>
      </c>
      <c r="J30" s="9">
        <v>0</v>
      </c>
      <c r="K30" s="9">
        <v>0</v>
      </c>
      <c r="L30" s="8">
        <v>0</v>
      </c>
      <c r="M30" s="8" t="s">
        <v>17</v>
      </c>
      <c r="N30" s="9" t="s">
        <v>19</v>
      </c>
      <c r="O30" s="8"/>
    </row>
    <row r="31" s="34" customFormat="1" ht="28" customHeight="1" spans="1:15">
      <c r="A31" s="8">
        <v>28</v>
      </c>
      <c r="B31" s="8" t="s">
        <v>31</v>
      </c>
      <c r="C31" s="8" t="s">
        <v>29</v>
      </c>
      <c r="D31" s="8" t="str">
        <f>"杜明芬"</f>
        <v>杜明芬</v>
      </c>
      <c r="E31" s="9">
        <v>0</v>
      </c>
      <c r="F31" s="9">
        <v>0</v>
      </c>
      <c r="G31" s="9">
        <v>0</v>
      </c>
      <c r="H31" s="9">
        <v>0</v>
      </c>
      <c r="I31" s="9">
        <v>0</v>
      </c>
      <c r="J31" s="9">
        <v>0</v>
      </c>
      <c r="K31" s="9">
        <v>0</v>
      </c>
      <c r="L31" s="8">
        <v>0</v>
      </c>
      <c r="M31" s="8" t="s">
        <v>17</v>
      </c>
      <c r="N31" s="9" t="s">
        <v>19</v>
      </c>
      <c r="O31" s="8"/>
    </row>
    <row r="32" s="34" customFormat="1" ht="28" customHeight="1" spans="1:15">
      <c r="A32" s="8">
        <v>29</v>
      </c>
      <c r="B32" s="8" t="s">
        <v>31</v>
      </c>
      <c r="C32" s="8" t="s">
        <v>29</v>
      </c>
      <c r="D32" s="8" t="str">
        <f>"高雅"</f>
        <v>高雅</v>
      </c>
      <c r="E32" s="9">
        <v>0</v>
      </c>
      <c r="F32" s="9">
        <v>0</v>
      </c>
      <c r="G32" s="9">
        <v>0</v>
      </c>
      <c r="H32" s="9">
        <v>0</v>
      </c>
      <c r="I32" s="9">
        <v>0</v>
      </c>
      <c r="J32" s="9">
        <v>0</v>
      </c>
      <c r="K32" s="9">
        <v>0</v>
      </c>
      <c r="L32" s="8">
        <v>0</v>
      </c>
      <c r="M32" s="8" t="s">
        <v>17</v>
      </c>
      <c r="N32" s="9" t="s">
        <v>19</v>
      </c>
      <c r="O32" s="8"/>
    </row>
    <row r="33" s="34" customFormat="1" ht="28" customHeight="1" spans="1:15">
      <c r="A33" s="8">
        <v>30</v>
      </c>
      <c r="B33" s="8" t="s">
        <v>31</v>
      </c>
      <c r="C33" s="8" t="s">
        <v>29</v>
      </c>
      <c r="D33" s="8" t="str">
        <f>"路伟力"</f>
        <v>路伟力</v>
      </c>
      <c r="E33" s="9">
        <v>0</v>
      </c>
      <c r="F33" s="9">
        <v>0</v>
      </c>
      <c r="G33" s="9">
        <v>0</v>
      </c>
      <c r="H33" s="9">
        <v>0</v>
      </c>
      <c r="I33" s="9">
        <v>0</v>
      </c>
      <c r="J33" s="9">
        <v>0</v>
      </c>
      <c r="K33" s="9">
        <v>0</v>
      </c>
      <c r="L33" s="8">
        <v>0</v>
      </c>
      <c r="M33" s="8" t="s">
        <v>17</v>
      </c>
      <c r="N33" s="9" t="s">
        <v>19</v>
      </c>
      <c r="O33" s="8"/>
    </row>
    <row r="34" s="34" customFormat="1" ht="28" customHeight="1" spans="1:15">
      <c r="A34" s="8">
        <v>31</v>
      </c>
      <c r="B34" s="8" t="s">
        <v>31</v>
      </c>
      <c r="C34" s="8" t="s">
        <v>29</v>
      </c>
      <c r="D34" s="8" t="str">
        <f>"曾庆华"</f>
        <v>曾庆华</v>
      </c>
      <c r="E34" s="9">
        <v>0</v>
      </c>
      <c r="F34" s="9">
        <v>0</v>
      </c>
      <c r="G34" s="9">
        <v>0</v>
      </c>
      <c r="H34" s="9">
        <v>0</v>
      </c>
      <c r="I34" s="9">
        <v>0</v>
      </c>
      <c r="J34" s="9">
        <v>0</v>
      </c>
      <c r="K34" s="9">
        <v>0</v>
      </c>
      <c r="L34" s="8">
        <v>0</v>
      </c>
      <c r="M34" s="8" t="s">
        <v>17</v>
      </c>
      <c r="N34" s="9" t="s">
        <v>19</v>
      </c>
      <c r="O34" s="8"/>
    </row>
    <row r="35" s="34" customFormat="1" ht="28" customHeight="1" spans="1:15">
      <c r="A35" s="8">
        <v>32</v>
      </c>
      <c r="B35" s="8" t="s">
        <v>31</v>
      </c>
      <c r="C35" s="8" t="s">
        <v>29</v>
      </c>
      <c r="D35" s="8" t="str">
        <f>"黄施慧"</f>
        <v>黄施慧</v>
      </c>
      <c r="E35" s="9">
        <v>0</v>
      </c>
      <c r="F35" s="9">
        <v>0</v>
      </c>
      <c r="G35" s="9">
        <v>0</v>
      </c>
      <c r="H35" s="9">
        <v>0</v>
      </c>
      <c r="I35" s="9">
        <v>0</v>
      </c>
      <c r="J35" s="9">
        <v>0</v>
      </c>
      <c r="K35" s="9">
        <v>0</v>
      </c>
      <c r="L35" s="8">
        <v>0</v>
      </c>
      <c r="M35" s="8" t="s">
        <v>17</v>
      </c>
      <c r="N35" s="9" t="s">
        <v>19</v>
      </c>
      <c r="O35" s="8"/>
    </row>
  </sheetData>
  <sheetProtection password="9F33" sheet="1" objects="1"/>
  <sortState ref="D3:L34">
    <sortCondition ref="L3:L34" descending="1"/>
  </sortState>
  <mergeCells count="10">
    <mergeCell ref="A1:O1"/>
    <mergeCell ref="E2:K2"/>
    <mergeCell ref="A2:A3"/>
    <mergeCell ref="B2:B3"/>
    <mergeCell ref="C2:C3"/>
    <mergeCell ref="D2:D3"/>
    <mergeCell ref="L2:L3"/>
    <mergeCell ref="M2:M3"/>
    <mergeCell ref="N2:N3"/>
    <mergeCell ref="O2:O3"/>
  </mergeCells>
  <pageMargins left="0.700694444444445" right="0.700694444444445" top="0.751388888888889" bottom="0.751388888888889" header="0.297916666666667" footer="0.297916666666667"/>
  <pageSetup paperSize="9"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9"/>
  <sheetViews>
    <sheetView topLeftCell="A7" workbookViewId="0">
      <selection activeCell="M4" sqref="M4"/>
    </sheetView>
  </sheetViews>
  <sheetFormatPr defaultColWidth="8.70833333333333" defaultRowHeight="13.5"/>
  <cols>
    <col min="1" max="1" width="4.875" style="4" customWidth="1"/>
    <col min="2" max="2" width="24.875" style="4" customWidth="1"/>
    <col min="3" max="3" width="13.75" style="4" customWidth="1"/>
    <col min="4" max="4" width="7.375" style="4" customWidth="1"/>
    <col min="5" max="8" width="16.625" style="28" customWidth="1"/>
    <col min="9" max="9" width="18" style="28" customWidth="1"/>
    <col min="10" max="11" width="16.625" style="28" customWidth="1"/>
    <col min="12" max="12" width="18.75" style="28" customWidth="1"/>
    <col min="13" max="13" width="10" style="4" customWidth="1"/>
    <col min="14" max="14" width="9.125" style="4" customWidth="1"/>
    <col min="15" max="15" width="10.375" style="4" customWidth="1"/>
    <col min="16" max="16" width="8.70833333333333" style="4"/>
  </cols>
  <sheetData>
    <row r="1" s="1" customFormat="1" ht="85" customHeight="1" spans="1:16">
      <c r="A1" s="5" t="s">
        <v>0</v>
      </c>
      <c r="B1" s="29"/>
      <c r="C1" s="29"/>
      <c r="D1" s="29"/>
      <c r="E1" s="5"/>
      <c r="F1" s="5"/>
      <c r="G1" s="5"/>
      <c r="H1" s="5"/>
      <c r="I1" s="5"/>
      <c r="J1" s="5"/>
      <c r="K1" s="5"/>
      <c r="L1" s="5"/>
      <c r="M1" s="29"/>
      <c r="N1" s="29"/>
      <c r="O1" s="29"/>
      <c r="P1" s="29"/>
    </row>
    <row r="2" s="27" customFormat="1" ht="28" customHeight="1" spans="1:16">
      <c r="A2" s="7" t="s">
        <v>1</v>
      </c>
      <c r="B2" s="6" t="s">
        <v>2</v>
      </c>
      <c r="C2" s="6" t="s">
        <v>3</v>
      </c>
      <c r="D2" s="6" t="s">
        <v>4</v>
      </c>
      <c r="E2" s="7" t="s">
        <v>5</v>
      </c>
      <c r="F2" s="7"/>
      <c r="G2" s="7"/>
      <c r="H2" s="7"/>
      <c r="I2" s="7"/>
      <c r="J2" s="7"/>
      <c r="K2" s="7"/>
      <c r="L2" s="7"/>
      <c r="M2" s="19" t="s">
        <v>20</v>
      </c>
      <c r="N2" s="19" t="s">
        <v>7</v>
      </c>
      <c r="O2" s="19" t="s">
        <v>8</v>
      </c>
      <c r="P2" s="24" t="s">
        <v>9</v>
      </c>
    </row>
    <row r="3" s="27" customFormat="1" ht="155" customHeight="1" spans="1:16">
      <c r="A3" s="7"/>
      <c r="B3" s="6"/>
      <c r="C3" s="6"/>
      <c r="D3" s="6"/>
      <c r="E3" s="7" t="s">
        <v>10</v>
      </c>
      <c r="F3" s="7" t="s">
        <v>32</v>
      </c>
      <c r="G3" s="7" t="s">
        <v>33</v>
      </c>
      <c r="H3" s="7" t="s">
        <v>34</v>
      </c>
      <c r="I3" s="7" t="s">
        <v>35</v>
      </c>
      <c r="J3" s="7" t="s">
        <v>36</v>
      </c>
      <c r="K3" s="7" t="s">
        <v>37</v>
      </c>
      <c r="L3" s="7" t="s">
        <v>38</v>
      </c>
      <c r="M3" s="20"/>
      <c r="N3" s="20"/>
      <c r="O3" s="20"/>
      <c r="P3" s="25"/>
    </row>
    <row r="4" s="1" customFormat="1" ht="28" customHeight="1" spans="1:16">
      <c r="A4" s="8">
        <v>1</v>
      </c>
      <c r="B4" s="8" t="s">
        <v>39</v>
      </c>
      <c r="C4" s="8" t="s">
        <v>40</v>
      </c>
      <c r="D4" s="8" t="str">
        <f>"李四有"</f>
        <v>李四有</v>
      </c>
      <c r="E4" s="9">
        <v>0</v>
      </c>
      <c r="F4" s="9">
        <v>5</v>
      </c>
      <c r="G4" s="9">
        <v>0</v>
      </c>
      <c r="H4" s="9">
        <v>4</v>
      </c>
      <c r="I4" s="9">
        <v>5</v>
      </c>
      <c r="J4" s="9">
        <v>0</v>
      </c>
      <c r="K4" s="9">
        <v>0</v>
      </c>
      <c r="L4" s="9">
        <v>0</v>
      </c>
      <c r="M4" s="8">
        <v>14</v>
      </c>
      <c r="N4" s="8" t="s">
        <v>17</v>
      </c>
      <c r="O4" s="8" t="s">
        <v>18</v>
      </c>
      <c r="P4" s="8"/>
    </row>
    <row r="5" s="1" customFormat="1" ht="28" customHeight="1" spans="1:16">
      <c r="A5" s="8">
        <v>2</v>
      </c>
      <c r="B5" s="8" t="s">
        <v>39</v>
      </c>
      <c r="C5" s="8" t="s">
        <v>40</v>
      </c>
      <c r="D5" s="8" t="str">
        <f>"解溥"</f>
        <v>解溥</v>
      </c>
      <c r="E5" s="9">
        <v>4</v>
      </c>
      <c r="F5" s="9">
        <v>0</v>
      </c>
      <c r="G5" s="9">
        <v>0</v>
      </c>
      <c r="H5" s="9">
        <v>3</v>
      </c>
      <c r="I5" s="9">
        <v>5</v>
      </c>
      <c r="J5" s="9">
        <v>0</v>
      </c>
      <c r="K5" s="9">
        <v>0</v>
      </c>
      <c r="L5" s="9">
        <v>0</v>
      </c>
      <c r="M5" s="8">
        <v>12</v>
      </c>
      <c r="N5" s="8" t="s">
        <v>17</v>
      </c>
      <c r="O5" s="8" t="s">
        <v>18</v>
      </c>
      <c r="P5" s="8"/>
    </row>
    <row r="6" s="1" customFormat="1" ht="28" customHeight="1" spans="1:16">
      <c r="A6" s="8">
        <v>3</v>
      </c>
      <c r="B6" s="8" t="s">
        <v>39</v>
      </c>
      <c r="C6" s="8" t="s">
        <v>40</v>
      </c>
      <c r="D6" s="8" t="str">
        <f>"吉福桑"</f>
        <v>吉福桑</v>
      </c>
      <c r="E6" s="9">
        <v>4</v>
      </c>
      <c r="F6" s="9">
        <v>0</v>
      </c>
      <c r="G6" s="9">
        <v>0</v>
      </c>
      <c r="H6" s="9">
        <v>3</v>
      </c>
      <c r="I6" s="9">
        <v>0</v>
      </c>
      <c r="J6" s="9">
        <v>0</v>
      </c>
      <c r="K6" s="9">
        <v>0</v>
      </c>
      <c r="L6" s="9">
        <v>3</v>
      </c>
      <c r="M6" s="8">
        <v>10</v>
      </c>
      <c r="N6" s="8" t="s">
        <v>17</v>
      </c>
      <c r="O6" s="8" t="s">
        <v>18</v>
      </c>
      <c r="P6" s="8"/>
    </row>
    <row r="7" s="1" customFormat="1" ht="28" customHeight="1" spans="1:16">
      <c r="A7" s="8">
        <v>4</v>
      </c>
      <c r="B7" s="8" t="s">
        <v>39</v>
      </c>
      <c r="C7" s="8" t="s">
        <v>40</v>
      </c>
      <c r="D7" s="8" t="str">
        <f>"吴浩立"</f>
        <v>吴浩立</v>
      </c>
      <c r="E7" s="9">
        <v>0</v>
      </c>
      <c r="F7" s="9">
        <v>5</v>
      </c>
      <c r="G7" s="9">
        <v>1</v>
      </c>
      <c r="H7" s="9">
        <v>1</v>
      </c>
      <c r="I7" s="9">
        <v>0</v>
      </c>
      <c r="J7" s="9">
        <v>0</v>
      </c>
      <c r="K7" s="9">
        <v>0</v>
      </c>
      <c r="L7" s="9">
        <v>0</v>
      </c>
      <c r="M7" s="8">
        <v>7</v>
      </c>
      <c r="N7" s="8" t="s">
        <v>17</v>
      </c>
      <c r="O7" s="8" t="s">
        <v>18</v>
      </c>
      <c r="P7" s="8"/>
    </row>
    <row r="8" s="1" customFormat="1" ht="28" customHeight="1" spans="1:16">
      <c r="A8" s="8">
        <v>5</v>
      </c>
      <c r="B8" s="8" t="s">
        <v>39</v>
      </c>
      <c r="C8" s="8" t="s">
        <v>40</v>
      </c>
      <c r="D8" s="8" t="str">
        <f>"董余思"</f>
        <v>董余思</v>
      </c>
      <c r="E8" s="9">
        <v>3</v>
      </c>
      <c r="F8" s="9">
        <v>0</v>
      </c>
      <c r="G8" s="9">
        <v>0</v>
      </c>
      <c r="H8" s="9">
        <v>0</v>
      </c>
      <c r="I8" s="9">
        <v>0</v>
      </c>
      <c r="J8" s="9">
        <v>0</v>
      </c>
      <c r="K8" s="9">
        <v>0</v>
      </c>
      <c r="L8" s="9">
        <v>3</v>
      </c>
      <c r="M8" s="8">
        <v>6</v>
      </c>
      <c r="N8" s="8" t="s">
        <v>17</v>
      </c>
      <c r="O8" s="8" t="s">
        <v>18</v>
      </c>
      <c r="P8" s="8"/>
    </row>
    <row r="9" s="1" customFormat="1" ht="28" customHeight="1" spans="1:16">
      <c r="A9" s="8">
        <v>6</v>
      </c>
      <c r="B9" s="8" t="s">
        <v>39</v>
      </c>
      <c r="C9" s="8" t="s">
        <v>40</v>
      </c>
      <c r="D9" s="8" t="str">
        <f>"蒋雯秀"</f>
        <v>蒋雯秀</v>
      </c>
      <c r="E9" s="9">
        <v>4</v>
      </c>
      <c r="F9" s="9">
        <v>0</v>
      </c>
      <c r="G9" s="9">
        <v>0</v>
      </c>
      <c r="H9" s="9">
        <v>0</v>
      </c>
      <c r="I9" s="9">
        <v>0</v>
      </c>
      <c r="J9" s="9">
        <v>0</v>
      </c>
      <c r="K9" s="9">
        <v>0</v>
      </c>
      <c r="L9" s="9">
        <v>0</v>
      </c>
      <c r="M9" s="8">
        <v>4</v>
      </c>
      <c r="N9" s="8" t="s">
        <v>17</v>
      </c>
      <c r="O9" s="8" t="s">
        <v>18</v>
      </c>
      <c r="P9" s="8"/>
    </row>
    <row r="10" s="1" customFormat="1" ht="28" customHeight="1" spans="1:16">
      <c r="A10" s="8">
        <v>7</v>
      </c>
      <c r="B10" s="8" t="s">
        <v>39</v>
      </c>
      <c r="C10" s="8" t="s">
        <v>40</v>
      </c>
      <c r="D10" s="8" t="str">
        <f>"李孟娜"</f>
        <v>李孟娜</v>
      </c>
      <c r="E10" s="9">
        <v>4</v>
      </c>
      <c r="F10" s="9">
        <v>0</v>
      </c>
      <c r="G10" s="9">
        <v>0</v>
      </c>
      <c r="H10" s="9">
        <v>0</v>
      </c>
      <c r="I10" s="9">
        <v>0</v>
      </c>
      <c r="J10" s="9">
        <v>0</v>
      </c>
      <c r="K10" s="9">
        <v>0</v>
      </c>
      <c r="L10" s="9">
        <v>0</v>
      </c>
      <c r="M10" s="8">
        <v>4</v>
      </c>
      <c r="N10" s="8" t="s">
        <v>17</v>
      </c>
      <c r="O10" s="8" t="s">
        <v>18</v>
      </c>
      <c r="P10" s="8"/>
    </row>
    <row r="11" s="1" customFormat="1" ht="28" customHeight="1" spans="1:16">
      <c r="A11" s="8">
        <v>8</v>
      </c>
      <c r="B11" s="8" t="s">
        <v>39</v>
      </c>
      <c r="C11" s="8" t="s">
        <v>40</v>
      </c>
      <c r="D11" s="8" t="str">
        <f>"陈心仪"</f>
        <v>陈心仪</v>
      </c>
      <c r="E11" s="9">
        <v>3</v>
      </c>
      <c r="F11" s="9">
        <v>0</v>
      </c>
      <c r="G11" s="9">
        <v>0</v>
      </c>
      <c r="H11" s="9">
        <v>0</v>
      </c>
      <c r="I11" s="9">
        <v>0</v>
      </c>
      <c r="J11" s="9">
        <v>0</v>
      </c>
      <c r="K11" s="9">
        <v>0</v>
      </c>
      <c r="L11" s="9">
        <v>1</v>
      </c>
      <c r="M11" s="8">
        <v>4</v>
      </c>
      <c r="N11" s="8" t="s">
        <v>17</v>
      </c>
      <c r="O11" s="8" t="s">
        <v>18</v>
      </c>
      <c r="P11" s="8"/>
    </row>
    <row r="12" s="1" customFormat="1" ht="28" customHeight="1" spans="1:16">
      <c r="A12" s="8">
        <v>9</v>
      </c>
      <c r="B12" s="8" t="s">
        <v>39</v>
      </c>
      <c r="C12" s="8" t="s">
        <v>40</v>
      </c>
      <c r="D12" s="8" t="str">
        <f>"范钊"</f>
        <v>范钊</v>
      </c>
      <c r="E12" s="9">
        <v>3</v>
      </c>
      <c r="F12" s="9">
        <v>1</v>
      </c>
      <c r="G12" s="9">
        <v>0</v>
      </c>
      <c r="H12" s="9">
        <v>0</v>
      </c>
      <c r="I12" s="9">
        <v>0</v>
      </c>
      <c r="J12" s="9">
        <v>0</v>
      </c>
      <c r="K12" s="9">
        <v>0</v>
      </c>
      <c r="L12" s="9">
        <v>0</v>
      </c>
      <c r="M12" s="8">
        <v>4</v>
      </c>
      <c r="N12" s="8" t="s">
        <v>17</v>
      </c>
      <c r="O12" s="8" t="s">
        <v>18</v>
      </c>
      <c r="P12" s="8"/>
    </row>
    <row r="13" s="1" customFormat="1" ht="28" customHeight="1" spans="1:16">
      <c r="A13" s="8">
        <v>10</v>
      </c>
      <c r="B13" s="8" t="s">
        <v>39</v>
      </c>
      <c r="C13" s="8" t="s">
        <v>40</v>
      </c>
      <c r="D13" s="8" t="str">
        <f>"陈言究"</f>
        <v>陈言究</v>
      </c>
      <c r="E13" s="9">
        <v>2</v>
      </c>
      <c r="F13" s="9">
        <v>0</v>
      </c>
      <c r="G13" s="9">
        <v>0</v>
      </c>
      <c r="H13" s="9">
        <v>1</v>
      </c>
      <c r="I13" s="9">
        <v>0</v>
      </c>
      <c r="J13" s="9">
        <v>0</v>
      </c>
      <c r="K13" s="9">
        <v>0</v>
      </c>
      <c r="L13" s="9">
        <v>0</v>
      </c>
      <c r="M13" s="8">
        <v>3</v>
      </c>
      <c r="N13" s="8" t="s">
        <v>17</v>
      </c>
      <c r="O13" s="8" t="s">
        <v>18</v>
      </c>
      <c r="P13" s="8"/>
    </row>
    <row r="14" s="1" customFormat="1" ht="28" customHeight="1" spans="1:16">
      <c r="A14" s="8">
        <v>11</v>
      </c>
      <c r="B14" s="8" t="s">
        <v>39</v>
      </c>
      <c r="C14" s="8" t="s">
        <v>40</v>
      </c>
      <c r="D14" s="8" t="str">
        <f>"许彩丽"</f>
        <v>许彩丽</v>
      </c>
      <c r="E14" s="9">
        <v>3</v>
      </c>
      <c r="F14" s="9">
        <v>0</v>
      </c>
      <c r="G14" s="9">
        <v>0</v>
      </c>
      <c r="H14" s="9">
        <v>0</v>
      </c>
      <c r="I14" s="9">
        <v>0</v>
      </c>
      <c r="J14" s="9">
        <v>0</v>
      </c>
      <c r="K14" s="9">
        <v>0</v>
      </c>
      <c r="L14" s="9">
        <v>0</v>
      </c>
      <c r="M14" s="8">
        <v>3</v>
      </c>
      <c r="N14" s="8" t="s">
        <v>17</v>
      </c>
      <c r="O14" s="8" t="s">
        <v>18</v>
      </c>
      <c r="P14" s="8"/>
    </row>
    <row r="15" s="1" customFormat="1" ht="28" customHeight="1" spans="1:16">
      <c r="A15" s="8">
        <v>12</v>
      </c>
      <c r="B15" s="8" t="s">
        <v>39</v>
      </c>
      <c r="C15" s="8" t="s">
        <v>40</v>
      </c>
      <c r="D15" s="8" t="str">
        <f>"邢增婷"</f>
        <v>邢增婷</v>
      </c>
      <c r="E15" s="9">
        <v>3</v>
      </c>
      <c r="F15" s="9">
        <v>0</v>
      </c>
      <c r="G15" s="9">
        <v>0</v>
      </c>
      <c r="H15" s="9">
        <v>0</v>
      </c>
      <c r="I15" s="9">
        <v>0</v>
      </c>
      <c r="J15" s="9">
        <v>0</v>
      </c>
      <c r="K15" s="9">
        <v>0</v>
      </c>
      <c r="L15" s="9">
        <v>0</v>
      </c>
      <c r="M15" s="8">
        <v>3</v>
      </c>
      <c r="N15" s="8" t="s">
        <v>17</v>
      </c>
      <c r="O15" s="8" t="s">
        <v>18</v>
      </c>
      <c r="P15" s="8"/>
    </row>
    <row r="16" s="1" customFormat="1" ht="28" customHeight="1" spans="1:16">
      <c r="A16" s="8">
        <v>13</v>
      </c>
      <c r="B16" s="8" t="s">
        <v>39</v>
      </c>
      <c r="C16" s="8" t="s">
        <v>40</v>
      </c>
      <c r="D16" s="8" t="str">
        <f>"胡达艺"</f>
        <v>胡达艺</v>
      </c>
      <c r="E16" s="9">
        <v>1</v>
      </c>
      <c r="F16" s="9">
        <v>0</v>
      </c>
      <c r="G16" s="9">
        <v>0</v>
      </c>
      <c r="H16" s="9">
        <v>0</v>
      </c>
      <c r="I16" s="9">
        <v>0</v>
      </c>
      <c r="J16" s="9">
        <v>0</v>
      </c>
      <c r="K16" s="9">
        <v>0</v>
      </c>
      <c r="L16" s="9">
        <v>0</v>
      </c>
      <c r="M16" s="8">
        <v>1</v>
      </c>
      <c r="N16" s="8" t="s">
        <v>17</v>
      </c>
      <c r="O16" s="8" t="s">
        <v>19</v>
      </c>
      <c r="P16" s="8"/>
    </row>
    <row r="17" s="1" customFormat="1" ht="28" customHeight="1" spans="1:16">
      <c r="A17" s="8">
        <v>14</v>
      </c>
      <c r="B17" s="8" t="s">
        <v>39</v>
      </c>
      <c r="C17" s="8" t="s">
        <v>40</v>
      </c>
      <c r="D17" s="8" t="str">
        <f>"王日和"</f>
        <v>王日和</v>
      </c>
      <c r="E17" s="9">
        <v>1</v>
      </c>
      <c r="F17" s="9">
        <v>0</v>
      </c>
      <c r="G17" s="9">
        <v>0</v>
      </c>
      <c r="H17" s="9">
        <v>0</v>
      </c>
      <c r="I17" s="9">
        <v>0</v>
      </c>
      <c r="J17" s="9">
        <v>0</v>
      </c>
      <c r="K17" s="9">
        <v>0</v>
      </c>
      <c r="L17" s="9">
        <v>0</v>
      </c>
      <c r="M17" s="8">
        <v>1</v>
      </c>
      <c r="N17" s="8" t="s">
        <v>17</v>
      </c>
      <c r="O17" s="8" t="s">
        <v>19</v>
      </c>
      <c r="P17" s="8"/>
    </row>
    <row r="18" s="1" customFormat="1" ht="28" customHeight="1" spans="1:16">
      <c r="A18" s="8">
        <v>15</v>
      </c>
      <c r="B18" s="8" t="s">
        <v>39</v>
      </c>
      <c r="C18" s="8" t="s">
        <v>40</v>
      </c>
      <c r="D18" s="8" t="str">
        <f>"王建保"</f>
        <v>王建保</v>
      </c>
      <c r="E18" s="9">
        <v>0</v>
      </c>
      <c r="F18" s="9">
        <v>1</v>
      </c>
      <c r="G18" s="9">
        <v>0</v>
      </c>
      <c r="H18" s="9">
        <v>0</v>
      </c>
      <c r="I18" s="9">
        <v>0</v>
      </c>
      <c r="J18" s="9">
        <v>0</v>
      </c>
      <c r="K18" s="9">
        <v>0</v>
      </c>
      <c r="L18" s="9">
        <v>0</v>
      </c>
      <c r="M18" s="8">
        <v>1</v>
      </c>
      <c r="N18" s="8" t="s">
        <v>17</v>
      </c>
      <c r="O18" s="8" t="s">
        <v>19</v>
      </c>
      <c r="P18" s="8"/>
    </row>
    <row r="19" s="1" customFormat="1" ht="28" customHeight="1" spans="1:16">
      <c r="A19" s="8">
        <v>16</v>
      </c>
      <c r="B19" s="8" t="s">
        <v>39</v>
      </c>
      <c r="C19" s="8" t="s">
        <v>40</v>
      </c>
      <c r="D19" s="8" t="str">
        <f>"王红妹"</f>
        <v>王红妹</v>
      </c>
      <c r="E19" s="9">
        <v>1</v>
      </c>
      <c r="F19" s="9">
        <v>0</v>
      </c>
      <c r="G19" s="9">
        <v>0</v>
      </c>
      <c r="H19" s="9">
        <v>0</v>
      </c>
      <c r="I19" s="9">
        <v>0</v>
      </c>
      <c r="J19" s="9">
        <v>0</v>
      </c>
      <c r="K19" s="9">
        <v>0</v>
      </c>
      <c r="L19" s="9">
        <v>0</v>
      </c>
      <c r="M19" s="8">
        <v>1</v>
      </c>
      <c r="N19" s="8" t="s">
        <v>17</v>
      </c>
      <c r="O19" s="8" t="s">
        <v>19</v>
      </c>
      <c r="P19" s="8"/>
    </row>
  </sheetData>
  <sheetProtection password="9F33" sheet="1" objects="1"/>
  <sortState ref="D3:M18">
    <sortCondition ref="M3:M18" descending="1"/>
  </sortState>
  <mergeCells count="10">
    <mergeCell ref="A1:P1"/>
    <mergeCell ref="E2:L2"/>
    <mergeCell ref="A2:A3"/>
    <mergeCell ref="B2:B3"/>
    <mergeCell ref="C2:C3"/>
    <mergeCell ref="D2:D3"/>
    <mergeCell ref="M2:M3"/>
    <mergeCell ref="N2:N3"/>
    <mergeCell ref="O2:O3"/>
    <mergeCell ref="P2:P3"/>
  </mergeCells>
  <pageMargins left="0.700694444444445" right="0.700694444444445" top="0.751388888888889" bottom="0.751388888888889" header="0.297916666666667" footer="0.297916666666667"/>
  <pageSetup paperSize="9" orientation="portrait"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40"/>
  <sheetViews>
    <sheetView topLeftCell="A31" workbookViewId="0">
      <selection activeCell="M19" sqref="M19"/>
    </sheetView>
  </sheetViews>
  <sheetFormatPr defaultColWidth="8.70833333333333" defaultRowHeight="14.25"/>
  <cols>
    <col min="1" max="1" width="4.875" style="32" customWidth="1"/>
    <col min="2" max="3" width="13.75" style="32" customWidth="1"/>
    <col min="4" max="4" width="7.375" style="33" customWidth="1"/>
    <col min="5" max="11" width="16.625" style="32" customWidth="1"/>
    <col min="12" max="12" width="17.1833333333333" style="32" customWidth="1"/>
    <col min="13" max="15" width="9.625" style="32" customWidth="1"/>
    <col min="16" max="16" width="8.75" style="32" customWidth="1"/>
  </cols>
  <sheetData>
    <row r="1" s="1" customFormat="1" ht="85" customHeight="1" spans="1:16">
      <c r="A1" s="5" t="s">
        <v>0</v>
      </c>
      <c r="B1" s="5"/>
      <c r="C1" s="5"/>
      <c r="D1" s="5"/>
      <c r="E1" s="5"/>
      <c r="F1" s="5"/>
      <c r="G1" s="5"/>
      <c r="H1" s="5"/>
      <c r="I1" s="5"/>
      <c r="J1" s="5"/>
      <c r="K1" s="5"/>
      <c r="L1" s="5"/>
      <c r="M1" s="5"/>
      <c r="N1" s="5"/>
      <c r="O1" s="5"/>
      <c r="P1" s="5"/>
    </row>
    <row r="2" s="1" customFormat="1" ht="28" customHeight="1" spans="1:16">
      <c r="A2" s="7" t="s">
        <v>1</v>
      </c>
      <c r="B2" s="6" t="s">
        <v>2</v>
      </c>
      <c r="C2" s="6" t="s">
        <v>3</v>
      </c>
      <c r="D2" s="6" t="s">
        <v>4</v>
      </c>
      <c r="E2" s="7" t="s">
        <v>5</v>
      </c>
      <c r="F2" s="7"/>
      <c r="G2" s="7"/>
      <c r="H2" s="7"/>
      <c r="I2" s="7"/>
      <c r="J2" s="7"/>
      <c r="K2" s="7"/>
      <c r="L2" s="7"/>
      <c r="M2" s="19" t="s">
        <v>20</v>
      </c>
      <c r="N2" s="19" t="s">
        <v>7</v>
      </c>
      <c r="O2" s="19" t="s">
        <v>8</v>
      </c>
      <c r="P2" s="24" t="s">
        <v>9</v>
      </c>
    </row>
    <row r="3" s="22" customFormat="1" ht="149" customHeight="1" spans="1:16">
      <c r="A3" s="7"/>
      <c r="B3" s="6"/>
      <c r="C3" s="6"/>
      <c r="D3" s="6"/>
      <c r="E3" s="7" t="s">
        <v>10</v>
      </c>
      <c r="F3" s="7" t="s">
        <v>32</v>
      </c>
      <c r="G3" s="7" t="s">
        <v>33</v>
      </c>
      <c r="H3" s="7" t="s">
        <v>34</v>
      </c>
      <c r="I3" s="7" t="s">
        <v>35</v>
      </c>
      <c r="J3" s="7" t="s">
        <v>36</v>
      </c>
      <c r="K3" s="7" t="s">
        <v>41</v>
      </c>
      <c r="L3" s="7" t="s">
        <v>38</v>
      </c>
      <c r="M3" s="20"/>
      <c r="N3" s="20"/>
      <c r="O3" s="20"/>
      <c r="P3" s="25"/>
    </row>
    <row r="4" s="1" customFormat="1" ht="28" customHeight="1" spans="1:16">
      <c r="A4" s="8">
        <v>1</v>
      </c>
      <c r="B4" s="8" t="s">
        <v>42</v>
      </c>
      <c r="C4" s="8" t="s">
        <v>40</v>
      </c>
      <c r="D4" s="8" t="str">
        <f>"范哲梓"</f>
        <v>范哲梓</v>
      </c>
      <c r="E4" s="8">
        <v>0</v>
      </c>
      <c r="F4" s="8">
        <v>5</v>
      </c>
      <c r="G4" s="8">
        <v>1</v>
      </c>
      <c r="H4" s="8">
        <v>3</v>
      </c>
      <c r="I4" s="8">
        <v>0</v>
      </c>
      <c r="J4" s="8">
        <v>0</v>
      </c>
      <c r="K4" s="8">
        <v>0</v>
      </c>
      <c r="L4" s="8">
        <v>1</v>
      </c>
      <c r="M4" s="8">
        <v>10</v>
      </c>
      <c r="N4" s="8" t="s">
        <v>17</v>
      </c>
      <c r="O4" s="8" t="s">
        <v>18</v>
      </c>
      <c r="P4" s="8"/>
    </row>
    <row r="5" s="1" customFormat="1" ht="28" customHeight="1" spans="1:16">
      <c r="A5" s="8">
        <v>2</v>
      </c>
      <c r="B5" s="8" t="s">
        <v>42</v>
      </c>
      <c r="C5" s="8" t="s">
        <v>40</v>
      </c>
      <c r="D5" s="8" t="str">
        <f>"赵泽双"</f>
        <v>赵泽双</v>
      </c>
      <c r="E5" s="8">
        <v>4</v>
      </c>
      <c r="F5" s="8">
        <v>0</v>
      </c>
      <c r="G5" s="8">
        <v>0</v>
      </c>
      <c r="H5" s="8">
        <v>4</v>
      </c>
      <c r="I5" s="8">
        <v>0</v>
      </c>
      <c r="J5" s="8">
        <v>0</v>
      </c>
      <c r="K5" s="8">
        <v>0</v>
      </c>
      <c r="L5" s="8">
        <v>0</v>
      </c>
      <c r="M5" s="8">
        <v>8</v>
      </c>
      <c r="N5" s="8" t="s">
        <v>17</v>
      </c>
      <c r="O5" s="8" t="s">
        <v>18</v>
      </c>
      <c r="P5" s="8"/>
    </row>
    <row r="6" s="1" customFormat="1" ht="28" customHeight="1" spans="1:16">
      <c r="A6" s="8">
        <v>3</v>
      </c>
      <c r="B6" s="8" t="s">
        <v>42</v>
      </c>
      <c r="C6" s="8" t="s">
        <v>40</v>
      </c>
      <c r="D6" s="8" t="str">
        <f>"周礼厚"</f>
        <v>周礼厚</v>
      </c>
      <c r="E6" s="8">
        <v>4</v>
      </c>
      <c r="F6" s="8">
        <v>0</v>
      </c>
      <c r="G6" s="8">
        <v>0</v>
      </c>
      <c r="H6" s="8">
        <v>3</v>
      </c>
      <c r="I6" s="8">
        <v>0</v>
      </c>
      <c r="J6" s="8">
        <v>0</v>
      </c>
      <c r="K6" s="8">
        <v>0</v>
      </c>
      <c r="L6" s="8">
        <v>0</v>
      </c>
      <c r="M6" s="8">
        <v>7</v>
      </c>
      <c r="N6" s="8" t="s">
        <v>17</v>
      </c>
      <c r="O6" s="8" t="s">
        <v>18</v>
      </c>
      <c r="P6" s="8"/>
    </row>
    <row r="7" s="1" customFormat="1" ht="28" customHeight="1" spans="1:16">
      <c r="A7" s="8">
        <v>4</v>
      </c>
      <c r="B7" s="8" t="s">
        <v>42</v>
      </c>
      <c r="C7" s="8" t="s">
        <v>40</v>
      </c>
      <c r="D7" s="8" t="str">
        <f>"蒋振廷"</f>
        <v>蒋振廷</v>
      </c>
      <c r="E7" s="8">
        <v>4</v>
      </c>
      <c r="F7" s="8">
        <v>2</v>
      </c>
      <c r="G7" s="8">
        <v>0</v>
      </c>
      <c r="H7" s="8">
        <v>0</v>
      </c>
      <c r="I7" s="8">
        <v>0</v>
      </c>
      <c r="J7" s="8">
        <v>0</v>
      </c>
      <c r="K7" s="8">
        <v>0</v>
      </c>
      <c r="L7" s="8">
        <v>0</v>
      </c>
      <c r="M7" s="8">
        <v>6</v>
      </c>
      <c r="N7" s="8" t="s">
        <v>17</v>
      </c>
      <c r="O7" s="8" t="s">
        <v>18</v>
      </c>
      <c r="P7" s="8"/>
    </row>
    <row r="8" s="1" customFormat="1" ht="28" customHeight="1" spans="1:16">
      <c r="A8" s="8">
        <v>5</v>
      </c>
      <c r="B8" s="8" t="s">
        <v>42</v>
      </c>
      <c r="C8" s="8" t="s">
        <v>40</v>
      </c>
      <c r="D8" s="8" t="str">
        <f>"黄志文"</f>
        <v>黄志文</v>
      </c>
      <c r="E8" s="8">
        <v>1</v>
      </c>
      <c r="F8" s="8">
        <v>2</v>
      </c>
      <c r="G8" s="8">
        <v>0</v>
      </c>
      <c r="H8" s="8">
        <v>3</v>
      </c>
      <c r="I8" s="8">
        <v>0</v>
      </c>
      <c r="J8" s="8">
        <v>0</v>
      </c>
      <c r="K8" s="8">
        <v>0</v>
      </c>
      <c r="L8" s="8">
        <v>0</v>
      </c>
      <c r="M8" s="8">
        <v>6</v>
      </c>
      <c r="N8" s="8" t="s">
        <v>17</v>
      </c>
      <c r="O8" s="8" t="s">
        <v>18</v>
      </c>
      <c r="P8" s="8"/>
    </row>
    <row r="9" s="1" customFormat="1" ht="28" customHeight="1" spans="1:16">
      <c r="A9" s="8">
        <v>6</v>
      </c>
      <c r="B9" s="8" t="s">
        <v>42</v>
      </c>
      <c r="C9" s="8" t="s">
        <v>40</v>
      </c>
      <c r="D9" s="8" t="str">
        <f>"赵崇宇"</f>
        <v>赵崇宇</v>
      </c>
      <c r="E9" s="8">
        <v>4</v>
      </c>
      <c r="F9" s="8">
        <v>0</v>
      </c>
      <c r="G9" s="8">
        <v>0</v>
      </c>
      <c r="H9" s="8">
        <v>0</v>
      </c>
      <c r="I9" s="8">
        <v>0</v>
      </c>
      <c r="J9" s="8">
        <v>0</v>
      </c>
      <c r="K9" s="8">
        <v>0</v>
      </c>
      <c r="L9" s="8">
        <v>0</v>
      </c>
      <c r="M9" s="8">
        <v>4</v>
      </c>
      <c r="N9" s="8" t="s">
        <v>17</v>
      </c>
      <c r="O9" s="8" t="s">
        <v>18</v>
      </c>
      <c r="P9" s="8"/>
    </row>
    <row r="10" s="1" customFormat="1" ht="28" customHeight="1" spans="1:16">
      <c r="A10" s="8">
        <v>7</v>
      </c>
      <c r="B10" s="8" t="s">
        <v>42</v>
      </c>
      <c r="C10" s="8" t="s">
        <v>40</v>
      </c>
      <c r="D10" s="8" t="str">
        <f>"竺莲"</f>
        <v>竺莲</v>
      </c>
      <c r="E10" s="8">
        <v>4</v>
      </c>
      <c r="F10" s="8">
        <v>0</v>
      </c>
      <c r="G10" s="8">
        <v>0</v>
      </c>
      <c r="H10" s="8">
        <v>0</v>
      </c>
      <c r="I10" s="8">
        <v>0</v>
      </c>
      <c r="J10" s="8">
        <v>0</v>
      </c>
      <c r="K10" s="8">
        <v>0</v>
      </c>
      <c r="L10" s="8">
        <v>0</v>
      </c>
      <c r="M10" s="8">
        <v>4</v>
      </c>
      <c r="N10" s="8" t="s">
        <v>17</v>
      </c>
      <c r="O10" s="8" t="s">
        <v>18</v>
      </c>
      <c r="P10" s="8"/>
    </row>
    <row r="11" s="1" customFormat="1" ht="28" customHeight="1" spans="1:16">
      <c r="A11" s="8">
        <v>8</v>
      </c>
      <c r="B11" s="8" t="s">
        <v>42</v>
      </c>
      <c r="C11" s="8" t="s">
        <v>40</v>
      </c>
      <c r="D11" s="8" t="str">
        <f>"陈妍颖"</f>
        <v>陈妍颖</v>
      </c>
      <c r="E11" s="8">
        <v>3</v>
      </c>
      <c r="F11" s="8">
        <v>0</v>
      </c>
      <c r="G11" s="8">
        <v>0</v>
      </c>
      <c r="H11" s="8">
        <v>1</v>
      </c>
      <c r="I11" s="8">
        <v>0</v>
      </c>
      <c r="J11" s="8">
        <v>0</v>
      </c>
      <c r="K11" s="8">
        <v>0</v>
      </c>
      <c r="L11" s="8">
        <v>0</v>
      </c>
      <c r="M11" s="8">
        <v>4</v>
      </c>
      <c r="N11" s="8" t="s">
        <v>17</v>
      </c>
      <c r="O11" s="8" t="s">
        <v>18</v>
      </c>
      <c r="P11" s="8"/>
    </row>
    <row r="12" s="1" customFormat="1" ht="28" customHeight="1" spans="1:16">
      <c r="A12" s="8">
        <v>9</v>
      </c>
      <c r="B12" s="8" t="s">
        <v>42</v>
      </c>
      <c r="C12" s="8" t="s">
        <v>40</v>
      </c>
      <c r="D12" s="8" t="str">
        <f>"吴红芬"</f>
        <v>吴红芬</v>
      </c>
      <c r="E12" s="8">
        <v>4</v>
      </c>
      <c r="F12" s="8">
        <v>0</v>
      </c>
      <c r="G12" s="8">
        <v>0</v>
      </c>
      <c r="H12" s="8">
        <v>0</v>
      </c>
      <c r="I12" s="8">
        <v>0</v>
      </c>
      <c r="J12" s="8">
        <v>0</v>
      </c>
      <c r="K12" s="8">
        <v>0</v>
      </c>
      <c r="L12" s="8">
        <v>0</v>
      </c>
      <c r="M12" s="8">
        <v>4</v>
      </c>
      <c r="N12" s="8" t="s">
        <v>17</v>
      </c>
      <c r="O12" s="8" t="s">
        <v>18</v>
      </c>
      <c r="P12" s="8"/>
    </row>
    <row r="13" s="1" customFormat="1" ht="28" customHeight="1" spans="1:16">
      <c r="A13" s="8">
        <v>10</v>
      </c>
      <c r="B13" s="8" t="s">
        <v>42</v>
      </c>
      <c r="C13" s="8" t="s">
        <v>40</v>
      </c>
      <c r="D13" s="8" t="str">
        <f>"衣万全"</f>
        <v>衣万全</v>
      </c>
      <c r="E13" s="8">
        <v>1</v>
      </c>
      <c r="F13" s="8">
        <v>0</v>
      </c>
      <c r="G13" s="8">
        <v>0</v>
      </c>
      <c r="H13" s="8">
        <v>3</v>
      </c>
      <c r="I13" s="8">
        <v>0</v>
      </c>
      <c r="J13" s="8">
        <v>0</v>
      </c>
      <c r="K13" s="8">
        <v>0</v>
      </c>
      <c r="L13" s="8">
        <v>0</v>
      </c>
      <c r="M13" s="8">
        <v>4</v>
      </c>
      <c r="N13" s="8" t="s">
        <v>17</v>
      </c>
      <c r="O13" s="8" t="s">
        <v>18</v>
      </c>
      <c r="P13" s="8"/>
    </row>
    <row r="14" s="1" customFormat="1" ht="28" customHeight="1" spans="1:16">
      <c r="A14" s="8">
        <v>11</v>
      </c>
      <c r="B14" s="8" t="s">
        <v>42</v>
      </c>
      <c r="C14" s="8" t="s">
        <v>40</v>
      </c>
      <c r="D14" s="8" t="str">
        <f>"吴光灿"</f>
        <v>吴光灿</v>
      </c>
      <c r="E14" s="8">
        <v>4</v>
      </c>
      <c r="F14" s="8">
        <v>0</v>
      </c>
      <c r="G14" s="8">
        <v>0</v>
      </c>
      <c r="H14" s="8">
        <v>0</v>
      </c>
      <c r="I14" s="8">
        <v>0</v>
      </c>
      <c r="J14" s="8">
        <v>0</v>
      </c>
      <c r="K14" s="8">
        <v>0</v>
      </c>
      <c r="L14" s="8">
        <v>0</v>
      </c>
      <c r="M14" s="8">
        <v>4</v>
      </c>
      <c r="N14" s="8" t="s">
        <v>17</v>
      </c>
      <c r="O14" s="8" t="s">
        <v>18</v>
      </c>
      <c r="P14" s="8"/>
    </row>
    <row r="15" s="1" customFormat="1" ht="28" customHeight="1" spans="1:16">
      <c r="A15" s="8">
        <v>12</v>
      </c>
      <c r="B15" s="8" t="s">
        <v>42</v>
      </c>
      <c r="C15" s="8" t="s">
        <v>40</v>
      </c>
      <c r="D15" s="8" t="str">
        <f>"周海琴"</f>
        <v>周海琴</v>
      </c>
      <c r="E15" s="8">
        <v>4</v>
      </c>
      <c r="F15" s="8">
        <v>0</v>
      </c>
      <c r="G15" s="8">
        <v>0</v>
      </c>
      <c r="H15" s="8">
        <v>0</v>
      </c>
      <c r="I15" s="8">
        <v>0</v>
      </c>
      <c r="J15" s="8">
        <v>0</v>
      </c>
      <c r="K15" s="8">
        <v>0</v>
      </c>
      <c r="L15" s="8">
        <v>0</v>
      </c>
      <c r="M15" s="8">
        <v>4</v>
      </c>
      <c r="N15" s="8" t="s">
        <v>17</v>
      </c>
      <c r="O15" s="8" t="s">
        <v>18</v>
      </c>
      <c r="P15" s="8"/>
    </row>
    <row r="16" s="1" customFormat="1" ht="28" customHeight="1" spans="1:16">
      <c r="A16" s="8">
        <v>13</v>
      </c>
      <c r="B16" s="8" t="s">
        <v>42</v>
      </c>
      <c r="C16" s="8" t="s">
        <v>40</v>
      </c>
      <c r="D16" s="8" t="str">
        <f>"鹿文举"</f>
        <v>鹿文举</v>
      </c>
      <c r="E16" s="8">
        <v>4</v>
      </c>
      <c r="F16" s="8">
        <v>0</v>
      </c>
      <c r="G16" s="8">
        <v>0</v>
      </c>
      <c r="H16" s="8">
        <v>0</v>
      </c>
      <c r="I16" s="8">
        <v>0</v>
      </c>
      <c r="J16" s="8">
        <v>0</v>
      </c>
      <c r="K16" s="8">
        <v>0</v>
      </c>
      <c r="L16" s="8">
        <v>0</v>
      </c>
      <c r="M16" s="8">
        <v>4</v>
      </c>
      <c r="N16" s="8" t="s">
        <v>17</v>
      </c>
      <c r="O16" s="8" t="s">
        <v>18</v>
      </c>
      <c r="P16" s="8"/>
    </row>
    <row r="17" s="1" customFormat="1" ht="28" customHeight="1" spans="1:16">
      <c r="A17" s="8">
        <v>14</v>
      </c>
      <c r="B17" s="8" t="s">
        <v>42</v>
      </c>
      <c r="C17" s="8" t="s">
        <v>40</v>
      </c>
      <c r="D17" s="8" t="str">
        <f>"陈鑫"</f>
        <v>陈鑫</v>
      </c>
      <c r="E17" s="8">
        <v>4</v>
      </c>
      <c r="F17" s="8">
        <v>0</v>
      </c>
      <c r="G17" s="8">
        <v>0</v>
      </c>
      <c r="H17" s="8">
        <v>0</v>
      </c>
      <c r="I17" s="8">
        <v>0</v>
      </c>
      <c r="J17" s="8">
        <v>0</v>
      </c>
      <c r="K17" s="8">
        <v>0</v>
      </c>
      <c r="L17" s="8">
        <v>0</v>
      </c>
      <c r="M17" s="8">
        <v>4</v>
      </c>
      <c r="N17" s="8" t="s">
        <v>17</v>
      </c>
      <c r="O17" s="8" t="s">
        <v>18</v>
      </c>
      <c r="P17" s="8"/>
    </row>
    <row r="18" s="1" customFormat="1" ht="28" customHeight="1" spans="1:16">
      <c r="A18" s="8">
        <v>15</v>
      </c>
      <c r="B18" s="8" t="s">
        <v>42</v>
      </c>
      <c r="C18" s="8" t="s">
        <v>40</v>
      </c>
      <c r="D18" s="8" t="str">
        <f>"王俊容"</f>
        <v>王俊容</v>
      </c>
      <c r="E18" s="8">
        <v>4</v>
      </c>
      <c r="F18" s="8">
        <v>0</v>
      </c>
      <c r="G18" s="8">
        <v>0</v>
      </c>
      <c r="H18" s="8">
        <v>0</v>
      </c>
      <c r="I18" s="8">
        <v>0</v>
      </c>
      <c r="J18" s="8">
        <v>0</v>
      </c>
      <c r="K18" s="8">
        <v>0</v>
      </c>
      <c r="L18" s="8">
        <v>0</v>
      </c>
      <c r="M18" s="8">
        <v>4</v>
      </c>
      <c r="N18" s="8" t="s">
        <v>17</v>
      </c>
      <c r="O18" s="8" t="s">
        <v>18</v>
      </c>
      <c r="P18" s="8"/>
    </row>
    <row r="19" s="1" customFormat="1" ht="28" customHeight="1" spans="1:16">
      <c r="A19" s="8">
        <v>16</v>
      </c>
      <c r="B19" s="8" t="s">
        <v>42</v>
      </c>
      <c r="C19" s="8" t="s">
        <v>40</v>
      </c>
      <c r="D19" s="8" t="str">
        <f>"吴龙华"</f>
        <v>吴龙华</v>
      </c>
      <c r="E19" s="8">
        <v>4</v>
      </c>
      <c r="F19" s="8">
        <v>0</v>
      </c>
      <c r="G19" s="8">
        <v>0</v>
      </c>
      <c r="H19" s="8">
        <v>0</v>
      </c>
      <c r="I19" s="8">
        <v>0</v>
      </c>
      <c r="J19" s="8">
        <v>0</v>
      </c>
      <c r="K19" s="8">
        <v>0</v>
      </c>
      <c r="L19" s="8">
        <v>0</v>
      </c>
      <c r="M19" s="8">
        <v>4</v>
      </c>
      <c r="N19" s="8" t="s">
        <v>17</v>
      </c>
      <c r="O19" s="8" t="s">
        <v>18</v>
      </c>
      <c r="P19" s="8"/>
    </row>
    <row r="20" s="1" customFormat="1" ht="28" customHeight="1" spans="1:16">
      <c r="A20" s="8">
        <v>17</v>
      </c>
      <c r="B20" s="8" t="s">
        <v>42</v>
      </c>
      <c r="C20" s="8" t="s">
        <v>40</v>
      </c>
      <c r="D20" s="8" t="str">
        <f>"黄紫钦"</f>
        <v>黄紫钦</v>
      </c>
      <c r="E20" s="8">
        <v>3</v>
      </c>
      <c r="F20" s="8">
        <v>0</v>
      </c>
      <c r="G20" s="8">
        <v>0</v>
      </c>
      <c r="H20" s="8">
        <v>0</v>
      </c>
      <c r="I20" s="8">
        <v>0</v>
      </c>
      <c r="J20" s="8">
        <v>0</v>
      </c>
      <c r="K20" s="8">
        <v>0</v>
      </c>
      <c r="L20" s="8">
        <v>0</v>
      </c>
      <c r="M20" s="8">
        <v>3</v>
      </c>
      <c r="N20" s="8" t="s">
        <v>17</v>
      </c>
      <c r="O20" s="8" t="s">
        <v>19</v>
      </c>
      <c r="P20" s="8"/>
    </row>
    <row r="21" s="1" customFormat="1" ht="28" customHeight="1" spans="1:16">
      <c r="A21" s="8">
        <v>18</v>
      </c>
      <c r="B21" s="8" t="s">
        <v>42</v>
      </c>
      <c r="C21" s="8" t="s">
        <v>40</v>
      </c>
      <c r="D21" s="8" t="str">
        <f>"王炳舒"</f>
        <v>王炳舒</v>
      </c>
      <c r="E21" s="8">
        <v>3</v>
      </c>
      <c r="F21" s="8">
        <v>0</v>
      </c>
      <c r="G21" s="8">
        <v>0</v>
      </c>
      <c r="H21" s="8">
        <v>0</v>
      </c>
      <c r="I21" s="8">
        <v>0</v>
      </c>
      <c r="J21" s="8">
        <v>0</v>
      </c>
      <c r="K21" s="8">
        <v>0</v>
      </c>
      <c r="L21" s="8">
        <v>0</v>
      </c>
      <c r="M21" s="8">
        <v>3</v>
      </c>
      <c r="N21" s="8" t="s">
        <v>17</v>
      </c>
      <c r="O21" s="8" t="s">
        <v>19</v>
      </c>
      <c r="P21" s="8"/>
    </row>
    <row r="22" s="1" customFormat="1" ht="28" customHeight="1" spans="1:16">
      <c r="A22" s="8">
        <v>19</v>
      </c>
      <c r="B22" s="8" t="s">
        <v>42</v>
      </c>
      <c r="C22" s="8" t="s">
        <v>40</v>
      </c>
      <c r="D22" s="8" t="str">
        <f>"邵惠敏"</f>
        <v>邵惠敏</v>
      </c>
      <c r="E22" s="8">
        <v>3</v>
      </c>
      <c r="F22" s="8">
        <v>0</v>
      </c>
      <c r="G22" s="8">
        <v>0</v>
      </c>
      <c r="H22" s="8">
        <v>0</v>
      </c>
      <c r="I22" s="8">
        <v>0</v>
      </c>
      <c r="J22" s="8">
        <v>0</v>
      </c>
      <c r="K22" s="8">
        <v>0</v>
      </c>
      <c r="L22" s="8">
        <v>0</v>
      </c>
      <c r="M22" s="8">
        <v>3</v>
      </c>
      <c r="N22" s="8" t="s">
        <v>17</v>
      </c>
      <c r="O22" s="8" t="s">
        <v>19</v>
      </c>
      <c r="P22" s="8"/>
    </row>
    <row r="23" s="1" customFormat="1" ht="28" customHeight="1" spans="1:16">
      <c r="A23" s="8">
        <v>20</v>
      </c>
      <c r="B23" s="8" t="s">
        <v>42</v>
      </c>
      <c r="C23" s="8" t="s">
        <v>40</v>
      </c>
      <c r="D23" s="8" t="str">
        <f>"罗福丽"</f>
        <v>罗福丽</v>
      </c>
      <c r="E23" s="8">
        <v>3</v>
      </c>
      <c r="F23" s="8">
        <v>0</v>
      </c>
      <c r="G23" s="8">
        <v>0</v>
      </c>
      <c r="H23" s="8">
        <v>0</v>
      </c>
      <c r="I23" s="8">
        <v>0</v>
      </c>
      <c r="J23" s="8">
        <v>0</v>
      </c>
      <c r="K23" s="8">
        <v>0</v>
      </c>
      <c r="L23" s="8">
        <v>0</v>
      </c>
      <c r="M23" s="8">
        <v>3</v>
      </c>
      <c r="N23" s="8" t="s">
        <v>17</v>
      </c>
      <c r="O23" s="8" t="s">
        <v>19</v>
      </c>
      <c r="P23" s="8"/>
    </row>
    <row r="24" s="1" customFormat="1" ht="28" customHeight="1" spans="1:16">
      <c r="A24" s="8">
        <v>21</v>
      </c>
      <c r="B24" s="8" t="s">
        <v>42</v>
      </c>
      <c r="C24" s="8" t="s">
        <v>40</v>
      </c>
      <c r="D24" s="8" t="str">
        <f>"曾春媚"</f>
        <v>曾春媚</v>
      </c>
      <c r="E24" s="8">
        <v>1</v>
      </c>
      <c r="F24" s="8">
        <v>0</v>
      </c>
      <c r="G24" s="8">
        <v>0</v>
      </c>
      <c r="H24" s="8">
        <v>0</v>
      </c>
      <c r="I24" s="8">
        <v>0</v>
      </c>
      <c r="J24" s="8">
        <v>0</v>
      </c>
      <c r="K24" s="8">
        <v>0</v>
      </c>
      <c r="L24" s="8">
        <v>0</v>
      </c>
      <c r="M24" s="8">
        <v>1</v>
      </c>
      <c r="N24" s="8" t="s">
        <v>17</v>
      </c>
      <c r="O24" s="8" t="s">
        <v>19</v>
      </c>
      <c r="P24" s="8"/>
    </row>
    <row r="25" s="1" customFormat="1" ht="28" customHeight="1" spans="1:16">
      <c r="A25" s="8">
        <v>22</v>
      </c>
      <c r="B25" s="8" t="s">
        <v>42</v>
      </c>
      <c r="C25" s="8" t="s">
        <v>40</v>
      </c>
      <c r="D25" s="8" t="str">
        <f>"张国林"</f>
        <v>张国林</v>
      </c>
      <c r="E25" s="8">
        <v>1</v>
      </c>
      <c r="F25" s="8">
        <v>0</v>
      </c>
      <c r="G25" s="8">
        <v>0</v>
      </c>
      <c r="H25" s="8">
        <v>0</v>
      </c>
      <c r="I25" s="8">
        <v>0</v>
      </c>
      <c r="J25" s="8">
        <v>0</v>
      </c>
      <c r="K25" s="8">
        <v>0</v>
      </c>
      <c r="L25" s="8">
        <v>0</v>
      </c>
      <c r="M25" s="8">
        <v>1</v>
      </c>
      <c r="N25" s="8" t="s">
        <v>17</v>
      </c>
      <c r="O25" s="8" t="s">
        <v>19</v>
      </c>
      <c r="P25" s="8"/>
    </row>
    <row r="26" s="1" customFormat="1" ht="28" customHeight="1" spans="1:16">
      <c r="A26" s="8">
        <v>23</v>
      </c>
      <c r="B26" s="8" t="s">
        <v>42</v>
      </c>
      <c r="C26" s="8" t="s">
        <v>40</v>
      </c>
      <c r="D26" s="8" t="str">
        <f>"曾裕茏"</f>
        <v>曾裕茏</v>
      </c>
      <c r="E26" s="8">
        <v>1</v>
      </c>
      <c r="F26" s="8">
        <v>0</v>
      </c>
      <c r="G26" s="8">
        <v>0</v>
      </c>
      <c r="H26" s="8">
        <v>0</v>
      </c>
      <c r="I26" s="8">
        <v>0</v>
      </c>
      <c r="J26" s="8">
        <v>0</v>
      </c>
      <c r="K26" s="8">
        <v>0</v>
      </c>
      <c r="L26" s="8">
        <v>0</v>
      </c>
      <c r="M26" s="8">
        <v>1</v>
      </c>
      <c r="N26" s="8" t="s">
        <v>17</v>
      </c>
      <c r="O26" s="8" t="s">
        <v>19</v>
      </c>
      <c r="P26" s="8"/>
    </row>
    <row r="27" s="1" customFormat="1" ht="28" customHeight="1" spans="1:16">
      <c r="A27" s="8">
        <v>24</v>
      </c>
      <c r="B27" s="8" t="s">
        <v>42</v>
      </c>
      <c r="C27" s="8" t="s">
        <v>40</v>
      </c>
      <c r="D27" s="8" t="str">
        <f>"黄山"</f>
        <v>黄山</v>
      </c>
      <c r="E27" s="8">
        <v>1</v>
      </c>
      <c r="F27" s="8">
        <v>0</v>
      </c>
      <c r="G27" s="8">
        <v>0</v>
      </c>
      <c r="H27" s="8">
        <v>0</v>
      </c>
      <c r="I27" s="8">
        <v>0</v>
      </c>
      <c r="J27" s="8">
        <v>0</v>
      </c>
      <c r="K27" s="8">
        <v>0</v>
      </c>
      <c r="L27" s="8">
        <v>0</v>
      </c>
      <c r="M27" s="8">
        <v>1</v>
      </c>
      <c r="N27" s="8" t="s">
        <v>17</v>
      </c>
      <c r="O27" s="8" t="s">
        <v>19</v>
      </c>
      <c r="P27" s="8"/>
    </row>
    <row r="28" s="1" customFormat="1" ht="28" customHeight="1" spans="1:16">
      <c r="A28" s="8">
        <v>25</v>
      </c>
      <c r="B28" s="8" t="s">
        <v>42</v>
      </c>
      <c r="C28" s="8" t="s">
        <v>40</v>
      </c>
      <c r="D28" s="8" t="str">
        <f>"张泽龙"</f>
        <v>张泽龙</v>
      </c>
      <c r="E28" s="8">
        <v>1</v>
      </c>
      <c r="F28" s="8">
        <v>0</v>
      </c>
      <c r="G28" s="8">
        <v>0</v>
      </c>
      <c r="H28" s="8">
        <v>0</v>
      </c>
      <c r="I28" s="8">
        <v>0</v>
      </c>
      <c r="J28" s="8">
        <v>0</v>
      </c>
      <c r="K28" s="8">
        <v>0</v>
      </c>
      <c r="L28" s="8">
        <v>0</v>
      </c>
      <c r="M28" s="8">
        <v>1</v>
      </c>
      <c r="N28" s="8" t="s">
        <v>17</v>
      </c>
      <c r="O28" s="8" t="s">
        <v>19</v>
      </c>
      <c r="P28" s="8"/>
    </row>
    <row r="29" s="1" customFormat="1" ht="28" customHeight="1" spans="1:16">
      <c r="A29" s="8">
        <v>26</v>
      </c>
      <c r="B29" s="8" t="s">
        <v>42</v>
      </c>
      <c r="C29" s="8" t="s">
        <v>40</v>
      </c>
      <c r="D29" s="8" t="str">
        <f>"谭发行"</f>
        <v>谭发行</v>
      </c>
      <c r="E29" s="8">
        <v>1</v>
      </c>
      <c r="F29" s="8">
        <v>0</v>
      </c>
      <c r="G29" s="8">
        <v>0</v>
      </c>
      <c r="H29" s="8">
        <v>0</v>
      </c>
      <c r="I29" s="8">
        <v>0</v>
      </c>
      <c r="J29" s="8">
        <v>0</v>
      </c>
      <c r="K29" s="8">
        <v>0</v>
      </c>
      <c r="L29" s="8">
        <v>0</v>
      </c>
      <c r="M29" s="8">
        <v>1</v>
      </c>
      <c r="N29" s="8" t="s">
        <v>17</v>
      </c>
      <c r="O29" s="8" t="s">
        <v>19</v>
      </c>
      <c r="P29" s="8"/>
    </row>
    <row r="30" s="1" customFormat="1" ht="28" customHeight="1" spans="1:16">
      <c r="A30" s="8">
        <v>27</v>
      </c>
      <c r="B30" s="8" t="s">
        <v>42</v>
      </c>
      <c r="C30" s="8" t="s">
        <v>40</v>
      </c>
      <c r="D30" s="8" t="str">
        <f>"张耀乐"</f>
        <v>张耀乐</v>
      </c>
      <c r="E30" s="8">
        <v>1</v>
      </c>
      <c r="F30" s="8">
        <v>0</v>
      </c>
      <c r="G30" s="8">
        <v>0</v>
      </c>
      <c r="H30" s="8">
        <v>0</v>
      </c>
      <c r="I30" s="8">
        <v>0</v>
      </c>
      <c r="J30" s="8">
        <v>0</v>
      </c>
      <c r="K30" s="8">
        <v>0</v>
      </c>
      <c r="L30" s="8">
        <v>0</v>
      </c>
      <c r="M30" s="8">
        <v>1</v>
      </c>
      <c r="N30" s="8" t="s">
        <v>17</v>
      </c>
      <c r="O30" s="8" t="s">
        <v>19</v>
      </c>
      <c r="P30" s="8"/>
    </row>
    <row r="31" s="1" customFormat="1" ht="28" customHeight="1" spans="1:16">
      <c r="A31" s="8">
        <v>28</v>
      </c>
      <c r="B31" s="8" t="s">
        <v>42</v>
      </c>
      <c r="C31" s="8" t="s">
        <v>40</v>
      </c>
      <c r="D31" s="8" t="str">
        <f>"黄志伟"</f>
        <v>黄志伟</v>
      </c>
      <c r="E31" s="8">
        <v>1</v>
      </c>
      <c r="F31" s="8">
        <v>0</v>
      </c>
      <c r="G31" s="8">
        <v>0</v>
      </c>
      <c r="H31" s="8">
        <v>0</v>
      </c>
      <c r="I31" s="8">
        <v>0</v>
      </c>
      <c r="J31" s="8">
        <v>0</v>
      </c>
      <c r="K31" s="8">
        <v>0</v>
      </c>
      <c r="L31" s="8">
        <v>0</v>
      </c>
      <c r="M31" s="8">
        <v>1</v>
      </c>
      <c r="N31" s="8" t="s">
        <v>17</v>
      </c>
      <c r="O31" s="8" t="s">
        <v>19</v>
      </c>
      <c r="P31" s="8"/>
    </row>
    <row r="32" s="1" customFormat="1" ht="28" customHeight="1" spans="1:16">
      <c r="A32" s="8">
        <v>29</v>
      </c>
      <c r="B32" s="8" t="s">
        <v>42</v>
      </c>
      <c r="C32" s="8" t="s">
        <v>40</v>
      </c>
      <c r="D32" s="8" t="str">
        <f>"文珍"</f>
        <v>文珍</v>
      </c>
      <c r="E32" s="8">
        <v>1</v>
      </c>
      <c r="F32" s="8">
        <v>0</v>
      </c>
      <c r="G32" s="8">
        <v>0</v>
      </c>
      <c r="H32" s="8">
        <v>0</v>
      </c>
      <c r="I32" s="8">
        <v>0</v>
      </c>
      <c r="J32" s="8">
        <v>0</v>
      </c>
      <c r="K32" s="8">
        <v>0</v>
      </c>
      <c r="L32" s="8">
        <v>0</v>
      </c>
      <c r="M32" s="8">
        <v>1</v>
      </c>
      <c r="N32" s="8" t="s">
        <v>17</v>
      </c>
      <c r="O32" s="8" t="s">
        <v>19</v>
      </c>
      <c r="P32" s="8"/>
    </row>
    <row r="33" s="1" customFormat="1" ht="28" customHeight="1" spans="1:16">
      <c r="A33" s="8">
        <v>30</v>
      </c>
      <c r="B33" s="8" t="s">
        <v>42</v>
      </c>
      <c r="C33" s="8" t="s">
        <v>40</v>
      </c>
      <c r="D33" s="8" t="str">
        <f>"黄世雄"</f>
        <v>黄世雄</v>
      </c>
      <c r="E33" s="8">
        <v>1</v>
      </c>
      <c r="F33" s="8">
        <v>0</v>
      </c>
      <c r="G33" s="8">
        <v>0</v>
      </c>
      <c r="H33" s="8">
        <v>0</v>
      </c>
      <c r="I33" s="8">
        <v>0</v>
      </c>
      <c r="J33" s="8">
        <v>0</v>
      </c>
      <c r="K33" s="8">
        <v>0</v>
      </c>
      <c r="L33" s="8">
        <v>0</v>
      </c>
      <c r="M33" s="8">
        <v>1</v>
      </c>
      <c r="N33" s="8" t="s">
        <v>17</v>
      </c>
      <c r="O33" s="8" t="s">
        <v>19</v>
      </c>
      <c r="P33" s="8"/>
    </row>
    <row r="34" s="1" customFormat="1" ht="28" customHeight="1" spans="1:16">
      <c r="A34" s="8">
        <v>31</v>
      </c>
      <c r="B34" s="8" t="s">
        <v>42</v>
      </c>
      <c r="C34" s="8" t="s">
        <v>40</v>
      </c>
      <c r="D34" s="8" t="str">
        <f>"邢谷毅"</f>
        <v>邢谷毅</v>
      </c>
      <c r="E34" s="8">
        <v>0</v>
      </c>
      <c r="F34" s="8">
        <v>0</v>
      </c>
      <c r="G34" s="8">
        <v>0</v>
      </c>
      <c r="H34" s="8">
        <v>0</v>
      </c>
      <c r="I34" s="8">
        <v>0</v>
      </c>
      <c r="J34" s="8">
        <v>0</v>
      </c>
      <c r="K34" s="8">
        <v>0</v>
      </c>
      <c r="L34" s="8">
        <v>0</v>
      </c>
      <c r="M34" s="8">
        <v>0</v>
      </c>
      <c r="N34" s="8" t="s">
        <v>17</v>
      </c>
      <c r="O34" s="8" t="s">
        <v>19</v>
      </c>
      <c r="P34" s="8"/>
    </row>
    <row r="35" s="1" customFormat="1" ht="28" customHeight="1" spans="1:16">
      <c r="A35" s="8">
        <v>32</v>
      </c>
      <c r="B35" s="8" t="s">
        <v>42</v>
      </c>
      <c r="C35" s="8" t="s">
        <v>40</v>
      </c>
      <c r="D35" s="8" t="str">
        <f>"黄强泓"</f>
        <v>黄强泓</v>
      </c>
      <c r="E35" s="8">
        <v>0</v>
      </c>
      <c r="F35" s="8">
        <v>0</v>
      </c>
      <c r="G35" s="8">
        <v>0</v>
      </c>
      <c r="H35" s="8">
        <v>0</v>
      </c>
      <c r="I35" s="8">
        <v>0</v>
      </c>
      <c r="J35" s="8">
        <v>0</v>
      </c>
      <c r="K35" s="8">
        <v>0</v>
      </c>
      <c r="L35" s="8">
        <v>0</v>
      </c>
      <c r="M35" s="8">
        <v>0</v>
      </c>
      <c r="N35" s="8" t="s">
        <v>17</v>
      </c>
      <c r="O35" s="8" t="s">
        <v>19</v>
      </c>
      <c r="P35" s="8"/>
    </row>
    <row r="36" s="1" customFormat="1" ht="28" customHeight="1" spans="1:16">
      <c r="A36" s="8">
        <v>33</v>
      </c>
      <c r="B36" s="8" t="s">
        <v>42</v>
      </c>
      <c r="C36" s="8" t="s">
        <v>40</v>
      </c>
      <c r="D36" s="8" t="str">
        <f>"林彬"</f>
        <v>林彬</v>
      </c>
      <c r="E36" s="8">
        <v>0</v>
      </c>
      <c r="F36" s="8">
        <v>0</v>
      </c>
      <c r="G36" s="8">
        <v>0</v>
      </c>
      <c r="H36" s="8">
        <v>0</v>
      </c>
      <c r="I36" s="8">
        <v>0</v>
      </c>
      <c r="J36" s="8">
        <v>0</v>
      </c>
      <c r="K36" s="8">
        <v>0</v>
      </c>
      <c r="L36" s="8">
        <v>0</v>
      </c>
      <c r="M36" s="8">
        <v>0</v>
      </c>
      <c r="N36" s="8" t="s">
        <v>17</v>
      </c>
      <c r="O36" s="8" t="s">
        <v>19</v>
      </c>
      <c r="P36" s="8"/>
    </row>
    <row r="37" s="1" customFormat="1" ht="28" customHeight="1" spans="1:16">
      <c r="A37" s="8">
        <v>34</v>
      </c>
      <c r="B37" s="8" t="s">
        <v>42</v>
      </c>
      <c r="C37" s="8" t="s">
        <v>40</v>
      </c>
      <c r="D37" s="8" t="str">
        <f>"牛小兰"</f>
        <v>牛小兰</v>
      </c>
      <c r="E37" s="8">
        <v>0</v>
      </c>
      <c r="F37" s="8">
        <v>0</v>
      </c>
      <c r="G37" s="8">
        <v>0</v>
      </c>
      <c r="H37" s="8">
        <v>0</v>
      </c>
      <c r="I37" s="8">
        <v>0</v>
      </c>
      <c r="J37" s="8">
        <v>0</v>
      </c>
      <c r="K37" s="8">
        <v>0</v>
      </c>
      <c r="L37" s="8">
        <v>0</v>
      </c>
      <c r="M37" s="8">
        <v>0</v>
      </c>
      <c r="N37" s="8" t="s">
        <v>17</v>
      </c>
      <c r="O37" s="8" t="s">
        <v>19</v>
      </c>
      <c r="P37" s="8"/>
    </row>
    <row r="38" s="1" customFormat="1" ht="28" customHeight="1" spans="1:16">
      <c r="A38" s="8">
        <v>35</v>
      </c>
      <c r="B38" s="8" t="s">
        <v>42</v>
      </c>
      <c r="C38" s="8" t="s">
        <v>40</v>
      </c>
      <c r="D38" s="8" t="str">
        <f>"陈奕峰"</f>
        <v>陈奕峰</v>
      </c>
      <c r="E38" s="8">
        <v>0</v>
      </c>
      <c r="F38" s="8">
        <v>0</v>
      </c>
      <c r="G38" s="8">
        <v>0</v>
      </c>
      <c r="H38" s="8">
        <v>0</v>
      </c>
      <c r="I38" s="8">
        <v>0</v>
      </c>
      <c r="J38" s="8">
        <v>0</v>
      </c>
      <c r="K38" s="8">
        <v>0</v>
      </c>
      <c r="L38" s="8">
        <v>0</v>
      </c>
      <c r="M38" s="8">
        <v>0</v>
      </c>
      <c r="N38" s="8" t="s">
        <v>17</v>
      </c>
      <c r="O38" s="8" t="s">
        <v>19</v>
      </c>
      <c r="P38" s="8"/>
    </row>
    <row r="39" s="1" customFormat="1" ht="28" customHeight="1" spans="1:16">
      <c r="A39" s="8">
        <v>36</v>
      </c>
      <c r="B39" s="8" t="s">
        <v>42</v>
      </c>
      <c r="C39" s="8" t="s">
        <v>40</v>
      </c>
      <c r="D39" s="8" t="str">
        <f>"邓嘉靖"</f>
        <v>邓嘉靖</v>
      </c>
      <c r="E39" s="8">
        <v>0</v>
      </c>
      <c r="F39" s="8">
        <v>0</v>
      </c>
      <c r="G39" s="8">
        <v>0</v>
      </c>
      <c r="H39" s="8">
        <v>0</v>
      </c>
      <c r="I39" s="8">
        <v>0</v>
      </c>
      <c r="J39" s="8">
        <v>0</v>
      </c>
      <c r="K39" s="8">
        <v>0</v>
      </c>
      <c r="L39" s="8">
        <v>0</v>
      </c>
      <c r="M39" s="8">
        <v>0</v>
      </c>
      <c r="N39" s="8" t="s">
        <v>17</v>
      </c>
      <c r="O39" s="8" t="s">
        <v>19</v>
      </c>
      <c r="P39" s="8"/>
    </row>
    <row r="40" s="1" customFormat="1" ht="28" customHeight="1" spans="1:16">
      <c r="A40" s="8">
        <v>37</v>
      </c>
      <c r="B40" s="8" t="s">
        <v>42</v>
      </c>
      <c r="C40" s="8" t="s">
        <v>40</v>
      </c>
      <c r="D40" s="8" t="str">
        <f>"符美彬"</f>
        <v>符美彬</v>
      </c>
      <c r="E40" s="8">
        <v>0</v>
      </c>
      <c r="F40" s="8">
        <v>0</v>
      </c>
      <c r="G40" s="8">
        <v>0</v>
      </c>
      <c r="H40" s="8">
        <v>0</v>
      </c>
      <c r="I40" s="8">
        <v>0</v>
      </c>
      <c r="J40" s="8">
        <v>0</v>
      </c>
      <c r="K40" s="8">
        <v>0</v>
      </c>
      <c r="L40" s="8">
        <v>0</v>
      </c>
      <c r="M40" s="8">
        <v>0</v>
      </c>
      <c r="N40" s="8" t="s">
        <v>17</v>
      </c>
      <c r="O40" s="8" t="s">
        <v>19</v>
      </c>
      <c r="P40" s="8"/>
    </row>
  </sheetData>
  <sheetProtection password="9F33" sheet="1" objects="1"/>
  <sortState ref="D3:M40">
    <sortCondition ref="M3:M40" descending="1"/>
  </sortState>
  <mergeCells count="10">
    <mergeCell ref="A1:P1"/>
    <mergeCell ref="E2:L2"/>
    <mergeCell ref="A2:A3"/>
    <mergeCell ref="B2:B3"/>
    <mergeCell ref="C2:C3"/>
    <mergeCell ref="D2:D3"/>
    <mergeCell ref="M2:M3"/>
    <mergeCell ref="N2:N3"/>
    <mergeCell ref="O2:O3"/>
    <mergeCell ref="P2:P3"/>
  </mergeCells>
  <printOptions horizontalCentered="1"/>
  <pageMargins left="0.700694444444445" right="0.700694444444445" top="0.751388888888889" bottom="0.751388888888889" header="0.297916666666667" footer="0.297916666666667"/>
  <pageSetup paperSize="9" orientation="portrait"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4"/>
  <sheetViews>
    <sheetView topLeftCell="A16" workbookViewId="0">
      <selection activeCell="J15" sqref="J15"/>
    </sheetView>
  </sheetViews>
  <sheetFormatPr defaultColWidth="8.70833333333333" defaultRowHeight="13.5"/>
  <cols>
    <col min="1" max="1" width="4.875" style="4" customWidth="1"/>
    <col min="2" max="2" width="13.75" style="4" customWidth="1"/>
    <col min="3" max="3" width="24.875" style="4" customWidth="1"/>
    <col min="4" max="4" width="9.625" style="4" customWidth="1"/>
    <col min="5" max="5" width="16.625" style="4" customWidth="1"/>
    <col min="6" max="9" width="16.625" style="28" customWidth="1"/>
    <col min="10" max="12" width="9.625" style="4" customWidth="1"/>
    <col min="13" max="13" width="6.625" style="4" customWidth="1"/>
  </cols>
  <sheetData>
    <row r="1" s="26" customFormat="1" ht="71" customHeight="1" spans="1:13">
      <c r="A1" s="5" t="s">
        <v>0</v>
      </c>
      <c r="B1" s="29"/>
      <c r="C1" s="29"/>
      <c r="D1" s="29"/>
      <c r="E1" s="29"/>
      <c r="F1" s="5"/>
      <c r="G1" s="5"/>
      <c r="H1" s="5"/>
      <c r="I1" s="5"/>
      <c r="J1" s="29"/>
      <c r="K1" s="29"/>
      <c r="L1" s="29"/>
      <c r="M1" s="29"/>
    </row>
    <row r="2" s="26" customFormat="1" ht="28" customHeight="1" spans="1:13">
      <c r="A2" s="7" t="s">
        <v>1</v>
      </c>
      <c r="B2" s="6" t="s">
        <v>2</v>
      </c>
      <c r="C2" s="6" t="s">
        <v>3</v>
      </c>
      <c r="D2" s="6" t="s">
        <v>4</v>
      </c>
      <c r="E2" s="6" t="s">
        <v>5</v>
      </c>
      <c r="F2" s="6"/>
      <c r="G2" s="6"/>
      <c r="H2" s="6"/>
      <c r="I2" s="6"/>
      <c r="J2" s="7" t="s">
        <v>20</v>
      </c>
      <c r="K2" s="7" t="s">
        <v>7</v>
      </c>
      <c r="L2" s="7" t="s">
        <v>8</v>
      </c>
      <c r="M2" s="6" t="s">
        <v>9</v>
      </c>
    </row>
    <row r="3" s="27" customFormat="1" ht="148" customHeight="1" spans="1:13">
      <c r="A3" s="7"/>
      <c r="B3" s="6"/>
      <c r="C3" s="6"/>
      <c r="D3" s="6"/>
      <c r="E3" s="7" t="s">
        <v>10</v>
      </c>
      <c r="F3" s="7" t="s">
        <v>43</v>
      </c>
      <c r="G3" s="7" t="s">
        <v>12</v>
      </c>
      <c r="H3" s="7" t="s">
        <v>44</v>
      </c>
      <c r="I3" s="7" t="s">
        <v>33</v>
      </c>
      <c r="J3" s="7"/>
      <c r="K3" s="7"/>
      <c r="L3" s="7"/>
      <c r="M3" s="6"/>
    </row>
    <row r="4" s="26" customFormat="1" ht="25" customHeight="1" spans="1:13">
      <c r="A4" s="8">
        <v>1</v>
      </c>
      <c r="B4" s="8" t="s">
        <v>45</v>
      </c>
      <c r="C4" s="8" t="s">
        <v>46</v>
      </c>
      <c r="D4" s="8" t="str">
        <f>"吴育博"</f>
        <v>吴育博</v>
      </c>
      <c r="E4" s="30">
        <v>0</v>
      </c>
      <c r="F4" s="31">
        <v>5</v>
      </c>
      <c r="G4" s="31">
        <v>4.5</v>
      </c>
      <c r="H4" s="31">
        <v>0</v>
      </c>
      <c r="I4" s="31">
        <v>0</v>
      </c>
      <c r="J4" s="8">
        <v>9.5</v>
      </c>
      <c r="K4" s="8" t="s">
        <v>17</v>
      </c>
      <c r="L4" s="8" t="s">
        <v>18</v>
      </c>
      <c r="M4" s="8"/>
    </row>
    <row r="5" s="26" customFormat="1" ht="25" customHeight="1" spans="1:13">
      <c r="A5" s="8">
        <v>2</v>
      </c>
      <c r="B5" s="8" t="s">
        <v>45</v>
      </c>
      <c r="C5" s="8" t="s">
        <v>46</v>
      </c>
      <c r="D5" s="8" t="str">
        <f>"符小寒"</f>
        <v>符小寒</v>
      </c>
      <c r="E5" s="30">
        <v>0</v>
      </c>
      <c r="F5" s="31">
        <v>5</v>
      </c>
      <c r="G5" s="31">
        <v>2.5</v>
      </c>
      <c r="H5" s="31">
        <v>0</v>
      </c>
      <c r="I5" s="31">
        <v>0</v>
      </c>
      <c r="J5" s="8">
        <v>7.5</v>
      </c>
      <c r="K5" s="8" t="s">
        <v>17</v>
      </c>
      <c r="L5" s="8" t="s">
        <v>18</v>
      </c>
      <c r="M5" s="8"/>
    </row>
    <row r="6" s="26" customFormat="1" ht="25" customHeight="1" spans="1:13">
      <c r="A6" s="8">
        <v>3</v>
      </c>
      <c r="B6" s="8" t="s">
        <v>45</v>
      </c>
      <c r="C6" s="8" t="s">
        <v>46</v>
      </c>
      <c r="D6" s="8" t="str">
        <f>"梁德娟"</f>
        <v>梁德娟</v>
      </c>
      <c r="E6" s="30">
        <v>2</v>
      </c>
      <c r="F6" s="31">
        <v>0</v>
      </c>
      <c r="G6" s="31">
        <v>0</v>
      </c>
      <c r="H6" s="31">
        <v>3.5</v>
      </c>
      <c r="I6" s="31">
        <v>0</v>
      </c>
      <c r="J6" s="8">
        <v>5.5</v>
      </c>
      <c r="K6" s="8" t="s">
        <v>17</v>
      </c>
      <c r="L6" s="8" t="s">
        <v>18</v>
      </c>
      <c r="M6" s="8"/>
    </row>
    <row r="7" s="26" customFormat="1" ht="25" customHeight="1" spans="1:13">
      <c r="A7" s="8">
        <v>4</v>
      </c>
      <c r="B7" s="8" t="s">
        <v>45</v>
      </c>
      <c r="C7" s="8" t="s">
        <v>46</v>
      </c>
      <c r="D7" s="8" t="str">
        <f>"张嘉梦"</f>
        <v>张嘉梦</v>
      </c>
      <c r="E7" s="30">
        <v>0</v>
      </c>
      <c r="F7" s="31">
        <v>0</v>
      </c>
      <c r="G7" s="31">
        <v>5</v>
      </c>
      <c r="H7" s="31">
        <v>0</v>
      </c>
      <c r="I7" s="31">
        <v>0</v>
      </c>
      <c r="J7" s="8">
        <v>5</v>
      </c>
      <c r="K7" s="8" t="s">
        <v>17</v>
      </c>
      <c r="L7" s="8" t="s">
        <v>18</v>
      </c>
      <c r="M7" s="8"/>
    </row>
    <row r="8" s="26" customFormat="1" ht="25" customHeight="1" spans="1:13">
      <c r="A8" s="8">
        <v>5</v>
      </c>
      <c r="B8" s="8" t="s">
        <v>45</v>
      </c>
      <c r="C8" s="8" t="s">
        <v>46</v>
      </c>
      <c r="D8" s="8" t="str">
        <f>"赵江山"</f>
        <v>赵江山</v>
      </c>
      <c r="E8" s="30">
        <v>0</v>
      </c>
      <c r="F8" s="31">
        <v>0</v>
      </c>
      <c r="G8" s="31">
        <v>2.5</v>
      </c>
      <c r="H8" s="31">
        <v>0</v>
      </c>
      <c r="I8" s="31">
        <v>0</v>
      </c>
      <c r="J8" s="8">
        <v>2.5</v>
      </c>
      <c r="K8" s="8" t="s">
        <v>17</v>
      </c>
      <c r="L8" s="8" t="s">
        <v>18</v>
      </c>
      <c r="M8" s="8"/>
    </row>
    <row r="9" s="26" customFormat="1" ht="25" customHeight="1" spans="1:13">
      <c r="A9" s="8">
        <v>6</v>
      </c>
      <c r="B9" s="8" t="s">
        <v>45</v>
      </c>
      <c r="C9" s="8" t="s">
        <v>46</v>
      </c>
      <c r="D9" s="8" t="str">
        <f>"王清清"</f>
        <v>王清清</v>
      </c>
      <c r="E9" s="30">
        <v>1</v>
      </c>
      <c r="F9" s="31">
        <v>0</v>
      </c>
      <c r="G9" s="31">
        <v>1</v>
      </c>
      <c r="H9" s="31">
        <v>0</v>
      </c>
      <c r="I9" s="31">
        <v>0</v>
      </c>
      <c r="J9" s="8">
        <v>2</v>
      </c>
      <c r="K9" s="8" t="s">
        <v>17</v>
      </c>
      <c r="L9" s="8" t="s">
        <v>18</v>
      </c>
      <c r="M9" s="8"/>
    </row>
    <row r="10" s="26" customFormat="1" ht="25" customHeight="1" spans="1:13">
      <c r="A10" s="8">
        <v>7</v>
      </c>
      <c r="B10" s="8" t="s">
        <v>45</v>
      </c>
      <c r="C10" s="8" t="s">
        <v>46</v>
      </c>
      <c r="D10" s="8" t="str">
        <f>"王国资"</f>
        <v>王国资</v>
      </c>
      <c r="E10" s="30">
        <v>1</v>
      </c>
      <c r="F10" s="31">
        <v>0</v>
      </c>
      <c r="G10" s="31">
        <v>0</v>
      </c>
      <c r="H10" s="31">
        <v>0</v>
      </c>
      <c r="I10" s="31">
        <v>0</v>
      </c>
      <c r="J10" s="8">
        <v>1</v>
      </c>
      <c r="K10" s="8" t="s">
        <v>17</v>
      </c>
      <c r="L10" s="8" t="s">
        <v>18</v>
      </c>
      <c r="M10" s="8"/>
    </row>
    <row r="11" s="26" customFormat="1" ht="25" customHeight="1" spans="1:13">
      <c r="A11" s="8">
        <v>8</v>
      </c>
      <c r="B11" s="8" t="s">
        <v>45</v>
      </c>
      <c r="C11" s="8" t="s">
        <v>46</v>
      </c>
      <c r="D11" s="8" t="str">
        <f>"黄少玲"</f>
        <v>黄少玲</v>
      </c>
      <c r="E11" s="30">
        <v>0</v>
      </c>
      <c r="F11" s="31">
        <v>0</v>
      </c>
      <c r="G11" s="31">
        <v>1</v>
      </c>
      <c r="H11" s="31">
        <v>0</v>
      </c>
      <c r="I11" s="31">
        <v>0</v>
      </c>
      <c r="J11" s="8">
        <v>1</v>
      </c>
      <c r="K11" s="8" t="s">
        <v>17</v>
      </c>
      <c r="L11" s="8" t="s">
        <v>18</v>
      </c>
      <c r="M11" s="8"/>
    </row>
    <row r="12" s="26" customFormat="1" ht="25" customHeight="1" spans="1:13">
      <c r="A12" s="8">
        <v>9</v>
      </c>
      <c r="B12" s="8" t="s">
        <v>45</v>
      </c>
      <c r="C12" s="8" t="s">
        <v>46</v>
      </c>
      <c r="D12" s="8" t="str">
        <f>"李昊然"</f>
        <v>李昊然</v>
      </c>
      <c r="E12" s="30">
        <v>0</v>
      </c>
      <c r="F12" s="31">
        <v>0</v>
      </c>
      <c r="G12" s="31">
        <v>1</v>
      </c>
      <c r="H12" s="31">
        <v>0</v>
      </c>
      <c r="I12" s="31">
        <v>0</v>
      </c>
      <c r="J12" s="8">
        <v>1</v>
      </c>
      <c r="K12" s="8" t="s">
        <v>17</v>
      </c>
      <c r="L12" s="8" t="s">
        <v>18</v>
      </c>
      <c r="M12" s="8"/>
    </row>
    <row r="13" s="26" customFormat="1" ht="25" customHeight="1" spans="1:13">
      <c r="A13" s="8">
        <v>10</v>
      </c>
      <c r="B13" s="8" t="s">
        <v>45</v>
      </c>
      <c r="C13" s="8" t="s">
        <v>46</v>
      </c>
      <c r="D13" s="8" t="str">
        <f>"胡绿子"</f>
        <v>胡绿子</v>
      </c>
      <c r="E13" s="30">
        <v>0</v>
      </c>
      <c r="F13" s="31">
        <v>0</v>
      </c>
      <c r="G13" s="31">
        <v>0.5</v>
      </c>
      <c r="H13" s="31">
        <v>0</v>
      </c>
      <c r="I13" s="31">
        <v>0.5</v>
      </c>
      <c r="J13" s="8">
        <v>1</v>
      </c>
      <c r="K13" s="8" t="s">
        <v>17</v>
      </c>
      <c r="L13" s="8" t="s">
        <v>18</v>
      </c>
      <c r="M13" s="8"/>
    </row>
    <row r="14" s="26" customFormat="1" ht="25" customHeight="1" spans="1:13">
      <c r="A14" s="8">
        <v>11</v>
      </c>
      <c r="B14" s="8" t="s">
        <v>45</v>
      </c>
      <c r="C14" s="8" t="s">
        <v>46</v>
      </c>
      <c r="D14" s="8" t="str">
        <f>"夏雨欣"</f>
        <v>夏雨欣</v>
      </c>
      <c r="E14" s="30">
        <v>0</v>
      </c>
      <c r="F14" s="31">
        <v>0</v>
      </c>
      <c r="G14" s="31">
        <v>0</v>
      </c>
      <c r="H14" s="31">
        <v>0.5</v>
      </c>
      <c r="I14" s="31">
        <v>0</v>
      </c>
      <c r="J14" s="8">
        <v>0.5</v>
      </c>
      <c r="K14" s="8" t="s">
        <v>17</v>
      </c>
      <c r="L14" s="8" t="s">
        <v>18</v>
      </c>
      <c r="M14" s="8"/>
    </row>
    <row r="15" s="26" customFormat="1" ht="25" customHeight="1" spans="1:13">
      <c r="A15" s="8">
        <v>12</v>
      </c>
      <c r="B15" s="8" t="s">
        <v>45</v>
      </c>
      <c r="C15" s="8" t="s">
        <v>46</v>
      </c>
      <c r="D15" s="8" t="str">
        <f>"麦倩霞"</f>
        <v>麦倩霞</v>
      </c>
      <c r="E15" s="30">
        <v>0</v>
      </c>
      <c r="F15" s="31">
        <v>0</v>
      </c>
      <c r="G15" s="31">
        <v>0.5</v>
      </c>
      <c r="H15" s="31">
        <v>0</v>
      </c>
      <c r="I15" s="31">
        <v>0</v>
      </c>
      <c r="J15" s="8">
        <v>0.5</v>
      </c>
      <c r="K15" s="8" t="s">
        <v>17</v>
      </c>
      <c r="L15" s="8" t="s">
        <v>18</v>
      </c>
      <c r="M15" s="8"/>
    </row>
    <row r="16" s="26" customFormat="1" ht="25" customHeight="1" spans="1:13">
      <c r="A16" s="8">
        <v>13</v>
      </c>
      <c r="B16" s="8" t="s">
        <v>45</v>
      </c>
      <c r="C16" s="8" t="s">
        <v>46</v>
      </c>
      <c r="D16" s="8" t="str">
        <f>"符瑞女"</f>
        <v>符瑞女</v>
      </c>
      <c r="E16" s="30">
        <v>0</v>
      </c>
      <c r="F16" s="31">
        <v>0</v>
      </c>
      <c r="G16" s="9">
        <v>0</v>
      </c>
      <c r="H16" s="31">
        <v>0</v>
      </c>
      <c r="I16" s="31">
        <v>0</v>
      </c>
      <c r="J16" s="8">
        <v>0</v>
      </c>
      <c r="K16" s="8" t="s">
        <v>17</v>
      </c>
      <c r="L16" s="8" t="s">
        <v>19</v>
      </c>
      <c r="M16" s="8"/>
    </row>
    <row r="17" s="26" customFormat="1" ht="25" customHeight="1" spans="1:13">
      <c r="A17" s="8">
        <v>14</v>
      </c>
      <c r="B17" s="8" t="s">
        <v>45</v>
      </c>
      <c r="C17" s="8" t="s">
        <v>46</v>
      </c>
      <c r="D17" s="8" t="str">
        <f>"吴多子"</f>
        <v>吴多子</v>
      </c>
      <c r="E17" s="30">
        <v>0</v>
      </c>
      <c r="F17" s="31">
        <v>0</v>
      </c>
      <c r="G17" s="9">
        <v>0</v>
      </c>
      <c r="H17" s="31">
        <v>0</v>
      </c>
      <c r="I17" s="31">
        <v>0</v>
      </c>
      <c r="J17" s="8">
        <v>0</v>
      </c>
      <c r="K17" s="8" t="s">
        <v>17</v>
      </c>
      <c r="L17" s="8" t="s">
        <v>19</v>
      </c>
      <c r="M17" s="8"/>
    </row>
    <row r="18" s="26" customFormat="1" ht="25" customHeight="1" spans="1:13">
      <c r="A18" s="8">
        <v>15</v>
      </c>
      <c r="B18" s="8" t="s">
        <v>45</v>
      </c>
      <c r="C18" s="8" t="s">
        <v>46</v>
      </c>
      <c r="D18" s="8" t="str">
        <f>"高翠莹"</f>
        <v>高翠莹</v>
      </c>
      <c r="E18" s="30">
        <v>0</v>
      </c>
      <c r="F18" s="31">
        <v>0</v>
      </c>
      <c r="G18" s="9">
        <v>0</v>
      </c>
      <c r="H18" s="31">
        <v>0</v>
      </c>
      <c r="I18" s="31">
        <v>0</v>
      </c>
      <c r="J18" s="8">
        <v>0</v>
      </c>
      <c r="K18" s="8" t="s">
        <v>17</v>
      </c>
      <c r="L18" s="8" t="s">
        <v>19</v>
      </c>
      <c r="M18" s="8"/>
    </row>
    <row r="19" s="26" customFormat="1" ht="25" customHeight="1" spans="1:13">
      <c r="A19" s="8">
        <v>16</v>
      </c>
      <c r="B19" s="8" t="s">
        <v>45</v>
      </c>
      <c r="C19" s="8" t="s">
        <v>46</v>
      </c>
      <c r="D19" s="8" t="str">
        <f>"何伟泽"</f>
        <v>何伟泽</v>
      </c>
      <c r="E19" s="30">
        <v>0</v>
      </c>
      <c r="F19" s="31">
        <v>0</v>
      </c>
      <c r="G19" s="9">
        <v>0</v>
      </c>
      <c r="H19" s="31">
        <v>0</v>
      </c>
      <c r="I19" s="31">
        <v>0</v>
      </c>
      <c r="J19" s="8">
        <v>0</v>
      </c>
      <c r="K19" s="8" t="s">
        <v>17</v>
      </c>
      <c r="L19" s="8" t="s">
        <v>19</v>
      </c>
      <c r="M19" s="8"/>
    </row>
    <row r="20" s="26" customFormat="1" ht="25" customHeight="1" spans="1:13">
      <c r="A20" s="8">
        <v>17</v>
      </c>
      <c r="B20" s="8" t="s">
        <v>45</v>
      </c>
      <c r="C20" s="8" t="s">
        <v>46</v>
      </c>
      <c r="D20" s="8" t="str">
        <f>"陈颖莹"</f>
        <v>陈颖莹</v>
      </c>
      <c r="E20" s="30">
        <v>0</v>
      </c>
      <c r="F20" s="31">
        <v>0</v>
      </c>
      <c r="G20" s="9">
        <v>0</v>
      </c>
      <c r="H20" s="31">
        <v>0</v>
      </c>
      <c r="I20" s="31">
        <v>0</v>
      </c>
      <c r="J20" s="8">
        <v>0</v>
      </c>
      <c r="K20" s="8" t="s">
        <v>17</v>
      </c>
      <c r="L20" s="8" t="s">
        <v>19</v>
      </c>
      <c r="M20" s="8"/>
    </row>
    <row r="21" s="26" customFormat="1" ht="25" customHeight="1" spans="1:13">
      <c r="A21" s="8">
        <v>18</v>
      </c>
      <c r="B21" s="8" t="s">
        <v>45</v>
      </c>
      <c r="C21" s="8" t="s">
        <v>46</v>
      </c>
      <c r="D21" s="8" t="str">
        <f>"冯宇娟"</f>
        <v>冯宇娟</v>
      </c>
      <c r="E21" s="30">
        <v>0</v>
      </c>
      <c r="F21" s="31">
        <v>0</v>
      </c>
      <c r="G21" s="9">
        <v>0</v>
      </c>
      <c r="H21" s="31">
        <v>0</v>
      </c>
      <c r="I21" s="31">
        <v>0</v>
      </c>
      <c r="J21" s="8">
        <v>0</v>
      </c>
      <c r="K21" s="8" t="s">
        <v>17</v>
      </c>
      <c r="L21" s="8" t="s">
        <v>19</v>
      </c>
      <c r="M21" s="8"/>
    </row>
    <row r="22" s="26" customFormat="1" ht="25" customHeight="1" spans="1:13">
      <c r="A22" s="8">
        <v>19</v>
      </c>
      <c r="B22" s="8" t="s">
        <v>45</v>
      </c>
      <c r="C22" s="8" t="s">
        <v>46</v>
      </c>
      <c r="D22" s="8" t="str">
        <f>"徐宝贝"</f>
        <v>徐宝贝</v>
      </c>
      <c r="E22" s="30">
        <v>0</v>
      </c>
      <c r="F22" s="31">
        <v>0</v>
      </c>
      <c r="G22" s="9">
        <v>0</v>
      </c>
      <c r="H22" s="31">
        <v>0</v>
      </c>
      <c r="I22" s="31">
        <v>0</v>
      </c>
      <c r="J22" s="8">
        <v>0</v>
      </c>
      <c r="K22" s="8" t="s">
        <v>17</v>
      </c>
      <c r="L22" s="8" t="s">
        <v>19</v>
      </c>
      <c r="M22" s="8"/>
    </row>
    <row r="23" s="26" customFormat="1" ht="25" customHeight="1" spans="1:13">
      <c r="A23" s="8">
        <v>20</v>
      </c>
      <c r="B23" s="8" t="s">
        <v>45</v>
      </c>
      <c r="C23" s="8" t="s">
        <v>46</v>
      </c>
      <c r="D23" s="8" t="str">
        <f>"蒙琼妹"</f>
        <v>蒙琼妹</v>
      </c>
      <c r="E23" s="30">
        <v>0</v>
      </c>
      <c r="F23" s="31">
        <v>0</v>
      </c>
      <c r="G23" s="9">
        <v>0</v>
      </c>
      <c r="H23" s="31">
        <v>0</v>
      </c>
      <c r="I23" s="31">
        <v>0</v>
      </c>
      <c r="J23" s="8">
        <v>0</v>
      </c>
      <c r="K23" s="8" t="s">
        <v>17</v>
      </c>
      <c r="L23" s="8" t="s">
        <v>19</v>
      </c>
      <c r="M23" s="8"/>
    </row>
    <row r="24" s="26" customFormat="1" ht="25" customHeight="1" spans="1:13">
      <c r="A24" s="8">
        <v>21</v>
      </c>
      <c r="B24" s="8" t="s">
        <v>45</v>
      </c>
      <c r="C24" s="8" t="s">
        <v>46</v>
      </c>
      <c r="D24" s="8" t="str">
        <f>"周寒婷"</f>
        <v>周寒婷</v>
      </c>
      <c r="E24" s="30">
        <v>0</v>
      </c>
      <c r="F24" s="31">
        <v>0</v>
      </c>
      <c r="G24" s="9">
        <v>0</v>
      </c>
      <c r="H24" s="31">
        <v>0</v>
      </c>
      <c r="I24" s="31">
        <v>0</v>
      </c>
      <c r="J24" s="8">
        <v>0</v>
      </c>
      <c r="K24" s="8" t="s">
        <v>17</v>
      </c>
      <c r="L24" s="8" t="s">
        <v>19</v>
      </c>
      <c r="M24" s="8"/>
    </row>
  </sheetData>
  <sheetProtection password="9F33" sheet="1" objects="1"/>
  <sortState ref="D3:J23">
    <sortCondition ref="J3:J23" descending="1"/>
  </sortState>
  <mergeCells count="10">
    <mergeCell ref="A1:M1"/>
    <mergeCell ref="E2:I2"/>
    <mergeCell ref="A2:A3"/>
    <mergeCell ref="B2:B3"/>
    <mergeCell ref="C2:C3"/>
    <mergeCell ref="D2:D3"/>
    <mergeCell ref="J2:J3"/>
    <mergeCell ref="K2:K3"/>
    <mergeCell ref="L2:L3"/>
    <mergeCell ref="M2:M3"/>
  </mergeCells>
  <pageMargins left="0.700694444444445" right="0.700694444444445" top="0.751388888888889" bottom="0.751388888888889" header="0.297916666666667" footer="0.297916666666667"/>
  <pageSetup paperSize="9" orientation="portrait"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4"/>
  <sheetViews>
    <sheetView tabSelected="1" topLeftCell="A3" workbookViewId="0">
      <selection activeCell="H9" sqref="H9"/>
    </sheetView>
  </sheetViews>
  <sheetFormatPr defaultColWidth="8.70833333333333" defaultRowHeight="13.5"/>
  <cols>
    <col min="1" max="1" width="5.625" style="1" customWidth="1"/>
    <col min="2" max="2" width="13.75" style="1" customWidth="1"/>
    <col min="3" max="3" width="20.375" style="1" customWidth="1"/>
    <col min="4" max="4" width="9.625" style="1" customWidth="1"/>
    <col min="5" max="8" width="16.625" style="1" customWidth="1"/>
    <col min="9" max="11" width="9.625" style="1" customWidth="1"/>
    <col min="12" max="12" width="6.625" style="1" customWidth="1"/>
  </cols>
  <sheetData>
    <row r="1" s="1" customFormat="1" ht="85" customHeight="1" spans="1:12">
      <c r="A1" s="18" t="s">
        <v>0</v>
      </c>
      <c r="B1" s="23"/>
      <c r="C1" s="23"/>
      <c r="D1" s="23"/>
      <c r="E1" s="23"/>
      <c r="F1" s="23"/>
      <c r="G1" s="23"/>
      <c r="H1" s="23"/>
      <c r="I1" s="23"/>
      <c r="J1" s="23"/>
      <c r="K1" s="23"/>
      <c r="L1" s="23"/>
    </row>
    <row r="2" s="1" customFormat="1" ht="33" customHeight="1" spans="1:12">
      <c r="A2" s="6" t="s">
        <v>1</v>
      </c>
      <c r="B2" s="6" t="s">
        <v>2</v>
      </c>
      <c r="C2" s="6" t="s">
        <v>3</v>
      </c>
      <c r="D2" s="6" t="s">
        <v>4</v>
      </c>
      <c r="E2" s="6" t="s">
        <v>5</v>
      </c>
      <c r="F2" s="6"/>
      <c r="G2" s="6"/>
      <c r="H2" s="6"/>
      <c r="I2" s="19" t="s">
        <v>20</v>
      </c>
      <c r="J2" s="19" t="s">
        <v>7</v>
      </c>
      <c r="K2" s="19" t="s">
        <v>8</v>
      </c>
      <c r="L2" s="24" t="s">
        <v>9</v>
      </c>
    </row>
    <row r="3" s="22" customFormat="1" ht="131" customHeight="1" spans="1:12">
      <c r="A3" s="6"/>
      <c r="B3" s="6"/>
      <c r="C3" s="6"/>
      <c r="D3" s="6"/>
      <c r="E3" s="7" t="s">
        <v>10</v>
      </c>
      <c r="F3" s="7" t="s">
        <v>47</v>
      </c>
      <c r="G3" s="7" t="s">
        <v>48</v>
      </c>
      <c r="H3" s="7" t="s">
        <v>49</v>
      </c>
      <c r="I3" s="20"/>
      <c r="J3" s="20"/>
      <c r="K3" s="20"/>
      <c r="L3" s="25"/>
    </row>
    <row r="4" s="1" customFormat="1" ht="25" customHeight="1" spans="1:12">
      <c r="A4" s="8">
        <v>1</v>
      </c>
      <c r="B4" s="8" t="s">
        <v>50</v>
      </c>
      <c r="C4" s="8" t="s">
        <v>51</v>
      </c>
      <c r="D4" s="8" t="str">
        <f>"羊炳赞"</f>
        <v>羊炳赞</v>
      </c>
      <c r="E4" s="8">
        <v>0</v>
      </c>
      <c r="F4" s="8">
        <v>3</v>
      </c>
      <c r="G4" s="8">
        <v>5</v>
      </c>
      <c r="H4" s="8">
        <v>1</v>
      </c>
      <c r="I4" s="8">
        <v>9</v>
      </c>
      <c r="J4" s="8" t="s">
        <v>17</v>
      </c>
      <c r="K4" s="8" t="s">
        <v>18</v>
      </c>
      <c r="L4" s="8"/>
    </row>
    <row r="5" s="1" customFormat="1" ht="25" customHeight="1" spans="1:12">
      <c r="A5" s="8">
        <v>2</v>
      </c>
      <c r="B5" s="8" t="s">
        <v>50</v>
      </c>
      <c r="C5" s="8" t="s">
        <v>51</v>
      </c>
      <c r="D5" s="8" t="str">
        <f>"羊光国"</f>
        <v>羊光国</v>
      </c>
      <c r="E5" s="8">
        <v>0</v>
      </c>
      <c r="F5" s="8">
        <v>3</v>
      </c>
      <c r="G5" s="8">
        <v>5</v>
      </c>
      <c r="H5" s="8">
        <v>0</v>
      </c>
      <c r="I5" s="8">
        <v>8</v>
      </c>
      <c r="J5" s="8" t="s">
        <v>17</v>
      </c>
      <c r="K5" s="8" t="s">
        <v>18</v>
      </c>
      <c r="L5" s="8"/>
    </row>
    <row r="6" s="1" customFormat="1" ht="25" customHeight="1" spans="1:12">
      <c r="A6" s="8">
        <v>3</v>
      </c>
      <c r="B6" s="8" t="s">
        <v>50</v>
      </c>
      <c r="C6" s="8" t="s">
        <v>51</v>
      </c>
      <c r="D6" s="8" t="str">
        <f>"金龙斌"</f>
        <v>金龙斌</v>
      </c>
      <c r="E6" s="8">
        <v>3</v>
      </c>
      <c r="F6" s="8">
        <v>0</v>
      </c>
      <c r="G6" s="8">
        <v>3</v>
      </c>
      <c r="H6" s="8">
        <v>0</v>
      </c>
      <c r="I6" s="8">
        <v>6</v>
      </c>
      <c r="J6" s="8" t="s">
        <v>17</v>
      </c>
      <c r="K6" s="8" t="s">
        <v>18</v>
      </c>
      <c r="L6" s="8"/>
    </row>
    <row r="7" s="1" customFormat="1" ht="25" customHeight="1" spans="1:12">
      <c r="A7" s="8">
        <v>4</v>
      </c>
      <c r="B7" s="8" t="s">
        <v>50</v>
      </c>
      <c r="C7" s="8" t="s">
        <v>51</v>
      </c>
      <c r="D7" s="8" t="str">
        <f>"何锋"</f>
        <v>何锋</v>
      </c>
      <c r="E7" s="8">
        <v>0</v>
      </c>
      <c r="F7" s="8">
        <v>3</v>
      </c>
      <c r="G7" s="8">
        <v>3.5</v>
      </c>
      <c r="H7" s="8">
        <v>0</v>
      </c>
      <c r="I7" s="8">
        <v>6.5</v>
      </c>
      <c r="J7" s="8" t="s">
        <v>17</v>
      </c>
      <c r="K7" s="8" t="s">
        <v>18</v>
      </c>
      <c r="L7" s="8"/>
    </row>
    <row r="8" s="1" customFormat="1" ht="25" customHeight="1" spans="1:12">
      <c r="A8" s="8">
        <v>5</v>
      </c>
      <c r="B8" s="8" t="s">
        <v>50</v>
      </c>
      <c r="C8" s="8" t="s">
        <v>51</v>
      </c>
      <c r="D8" s="8" t="str">
        <f>"杜小金"</f>
        <v>杜小金</v>
      </c>
      <c r="E8" s="8">
        <v>0</v>
      </c>
      <c r="F8" s="8">
        <v>0</v>
      </c>
      <c r="G8" s="8">
        <v>5</v>
      </c>
      <c r="H8" s="8">
        <v>0</v>
      </c>
      <c r="I8" s="8">
        <v>5</v>
      </c>
      <c r="J8" s="8" t="s">
        <v>17</v>
      </c>
      <c r="K8" s="8" t="s">
        <v>18</v>
      </c>
      <c r="L8" s="8"/>
    </row>
    <row r="9" s="1" customFormat="1" ht="25" customHeight="1" spans="1:12">
      <c r="A9" s="8">
        <v>6</v>
      </c>
      <c r="B9" s="8" t="s">
        <v>50</v>
      </c>
      <c r="C9" s="8" t="s">
        <v>51</v>
      </c>
      <c r="D9" s="8" t="str">
        <f>"张威"</f>
        <v>张威</v>
      </c>
      <c r="E9" s="8">
        <v>0</v>
      </c>
      <c r="F9" s="8">
        <v>0</v>
      </c>
      <c r="G9" s="8">
        <v>4.5</v>
      </c>
      <c r="H9" s="8">
        <v>0</v>
      </c>
      <c r="I9" s="8">
        <v>4.5</v>
      </c>
      <c r="J9" s="8" t="s">
        <v>17</v>
      </c>
      <c r="K9" s="8" t="s">
        <v>18</v>
      </c>
      <c r="L9" s="8"/>
    </row>
    <row r="10" s="1" customFormat="1" ht="25" customHeight="1" spans="1:12">
      <c r="A10" s="8">
        <v>7</v>
      </c>
      <c r="B10" s="8" t="s">
        <v>50</v>
      </c>
      <c r="C10" s="8" t="s">
        <v>51</v>
      </c>
      <c r="D10" s="8" t="str">
        <f>"黄伟"</f>
        <v>黄伟</v>
      </c>
      <c r="E10" s="8">
        <v>1</v>
      </c>
      <c r="F10" s="8">
        <v>0</v>
      </c>
      <c r="G10" s="8">
        <v>3</v>
      </c>
      <c r="H10" s="8">
        <v>0</v>
      </c>
      <c r="I10" s="8">
        <v>4</v>
      </c>
      <c r="J10" s="8" t="s">
        <v>17</v>
      </c>
      <c r="K10" s="8" t="s">
        <v>18</v>
      </c>
      <c r="L10" s="8"/>
    </row>
    <row r="11" s="1" customFormat="1" ht="25" customHeight="1" spans="1:12">
      <c r="A11" s="8">
        <v>8</v>
      </c>
      <c r="B11" s="8" t="s">
        <v>50</v>
      </c>
      <c r="C11" s="8" t="s">
        <v>51</v>
      </c>
      <c r="D11" s="8" t="str">
        <f>"倪兴振"</f>
        <v>倪兴振</v>
      </c>
      <c r="E11" s="8">
        <v>4</v>
      </c>
      <c r="F11" s="8">
        <v>0</v>
      </c>
      <c r="G11" s="8">
        <v>0</v>
      </c>
      <c r="H11" s="8">
        <v>0</v>
      </c>
      <c r="I11" s="8">
        <v>4</v>
      </c>
      <c r="J11" s="8" t="s">
        <v>17</v>
      </c>
      <c r="K11" s="8" t="s">
        <v>18</v>
      </c>
      <c r="L11" s="8"/>
    </row>
    <row r="12" s="1" customFormat="1" ht="25" customHeight="1" spans="1:12">
      <c r="A12" s="8">
        <v>9</v>
      </c>
      <c r="B12" s="8" t="s">
        <v>50</v>
      </c>
      <c r="C12" s="8" t="s">
        <v>51</v>
      </c>
      <c r="D12" s="8" t="str">
        <f>"陈贤鹏"</f>
        <v>陈贤鹏</v>
      </c>
      <c r="E12" s="8">
        <v>1</v>
      </c>
      <c r="F12" s="8">
        <v>0</v>
      </c>
      <c r="G12" s="8">
        <v>2</v>
      </c>
      <c r="H12" s="8">
        <v>0</v>
      </c>
      <c r="I12" s="8">
        <v>3</v>
      </c>
      <c r="J12" s="8" t="s">
        <v>17</v>
      </c>
      <c r="K12" s="8" t="s">
        <v>18</v>
      </c>
      <c r="L12" s="8"/>
    </row>
    <row r="13" s="1" customFormat="1" ht="25" customHeight="1" spans="1:12">
      <c r="A13" s="8">
        <v>10</v>
      </c>
      <c r="B13" s="8" t="s">
        <v>50</v>
      </c>
      <c r="C13" s="8" t="s">
        <v>51</v>
      </c>
      <c r="D13" s="8" t="str">
        <f>"郄诗超"</f>
        <v>郄诗超</v>
      </c>
      <c r="E13" s="8">
        <v>1</v>
      </c>
      <c r="F13" s="8">
        <v>0</v>
      </c>
      <c r="G13" s="8">
        <v>2</v>
      </c>
      <c r="H13" s="8">
        <v>0</v>
      </c>
      <c r="I13" s="8">
        <v>3</v>
      </c>
      <c r="J13" s="8" t="s">
        <v>17</v>
      </c>
      <c r="K13" s="8" t="s">
        <v>18</v>
      </c>
      <c r="L13" s="8"/>
    </row>
    <row r="14" s="1" customFormat="1" ht="25" customHeight="1" spans="1:12">
      <c r="A14" s="8">
        <v>11</v>
      </c>
      <c r="B14" s="8" t="s">
        <v>50</v>
      </c>
      <c r="C14" s="8" t="s">
        <v>51</v>
      </c>
      <c r="D14" s="8" t="str">
        <f>"颜炜钊"</f>
        <v>颜炜钊</v>
      </c>
      <c r="E14" s="8">
        <v>0</v>
      </c>
      <c r="F14" s="8">
        <v>0</v>
      </c>
      <c r="G14" s="8">
        <v>2</v>
      </c>
      <c r="H14" s="8">
        <v>1</v>
      </c>
      <c r="I14" s="8">
        <v>3</v>
      </c>
      <c r="J14" s="8" t="s">
        <v>17</v>
      </c>
      <c r="K14" s="8" t="s">
        <v>18</v>
      </c>
      <c r="L14" s="8"/>
    </row>
    <row r="15" s="1" customFormat="1" ht="25" customHeight="1" spans="1:12">
      <c r="A15" s="8">
        <v>12</v>
      </c>
      <c r="B15" s="8" t="s">
        <v>50</v>
      </c>
      <c r="C15" s="8" t="s">
        <v>51</v>
      </c>
      <c r="D15" s="8" t="str">
        <f>"郑旺"</f>
        <v>郑旺</v>
      </c>
      <c r="E15" s="8">
        <v>0</v>
      </c>
      <c r="F15" s="8">
        <v>0</v>
      </c>
      <c r="G15" s="8">
        <v>3</v>
      </c>
      <c r="H15" s="8">
        <v>0</v>
      </c>
      <c r="I15" s="8">
        <v>3</v>
      </c>
      <c r="J15" s="8" t="s">
        <v>17</v>
      </c>
      <c r="K15" s="8" t="s">
        <v>18</v>
      </c>
      <c r="L15" s="8"/>
    </row>
    <row r="16" s="1" customFormat="1" ht="25" customHeight="1" spans="1:12">
      <c r="A16" s="8">
        <v>13</v>
      </c>
      <c r="B16" s="8" t="s">
        <v>50</v>
      </c>
      <c r="C16" s="8" t="s">
        <v>51</v>
      </c>
      <c r="D16" s="8" t="str">
        <f>"于晶"</f>
        <v>于晶</v>
      </c>
      <c r="E16" s="8">
        <v>0</v>
      </c>
      <c r="F16" s="8">
        <v>0</v>
      </c>
      <c r="G16" s="8">
        <v>3</v>
      </c>
      <c r="H16" s="8">
        <v>0</v>
      </c>
      <c r="I16" s="8">
        <v>3</v>
      </c>
      <c r="J16" s="8" t="s">
        <v>17</v>
      </c>
      <c r="K16" s="8" t="s">
        <v>18</v>
      </c>
      <c r="L16" s="8"/>
    </row>
    <row r="17" s="1" customFormat="1" ht="25" customHeight="1" spans="1:12">
      <c r="A17" s="8">
        <v>14</v>
      </c>
      <c r="B17" s="8" t="s">
        <v>50</v>
      </c>
      <c r="C17" s="8" t="s">
        <v>51</v>
      </c>
      <c r="D17" s="8" t="str">
        <f>"王建良"</f>
        <v>王建良</v>
      </c>
      <c r="E17" s="8">
        <v>0</v>
      </c>
      <c r="F17" s="8">
        <v>0</v>
      </c>
      <c r="G17" s="8">
        <v>2.5</v>
      </c>
      <c r="H17" s="8">
        <v>0</v>
      </c>
      <c r="I17" s="8">
        <v>2.5</v>
      </c>
      <c r="J17" s="8" t="s">
        <v>17</v>
      </c>
      <c r="K17" s="8" t="s">
        <v>19</v>
      </c>
      <c r="L17" s="8"/>
    </row>
    <row r="18" s="1" customFormat="1" ht="25" customHeight="1" spans="1:12">
      <c r="A18" s="8">
        <v>15</v>
      </c>
      <c r="B18" s="8" t="s">
        <v>50</v>
      </c>
      <c r="C18" s="8" t="s">
        <v>51</v>
      </c>
      <c r="D18" s="8" t="str">
        <f>"游恒毅"</f>
        <v>游恒毅</v>
      </c>
      <c r="E18" s="8">
        <v>0</v>
      </c>
      <c r="F18" s="8">
        <v>0</v>
      </c>
      <c r="G18" s="8">
        <v>2.5</v>
      </c>
      <c r="H18" s="8">
        <v>0</v>
      </c>
      <c r="I18" s="8">
        <v>2.5</v>
      </c>
      <c r="J18" s="8" t="s">
        <v>17</v>
      </c>
      <c r="K18" s="8" t="s">
        <v>19</v>
      </c>
      <c r="L18" s="8"/>
    </row>
    <row r="19" s="1" customFormat="1" ht="25" customHeight="1" spans="1:12">
      <c r="A19" s="8">
        <v>16</v>
      </c>
      <c r="B19" s="8" t="s">
        <v>50</v>
      </c>
      <c r="C19" s="8" t="s">
        <v>51</v>
      </c>
      <c r="D19" s="8" t="str">
        <f>"王林"</f>
        <v>王林</v>
      </c>
      <c r="E19" s="8">
        <v>0</v>
      </c>
      <c r="F19" s="8">
        <v>0</v>
      </c>
      <c r="G19" s="8">
        <v>2.5</v>
      </c>
      <c r="H19" s="8">
        <v>0</v>
      </c>
      <c r="I19" s="8">
        <v>2.5</v>
      </c>
      <c r="J19" s="8" t="s">
        <v>17</v>
      </c>
      <c r="K19" s="8" t="s">
        <v>19</v>
      </c>
      <c r="L19" s="8"/>
    </row>
    <row r="20" s="1" customFormat="1" ht="25" customHeight="1" spans="1:12">
      <c r="A20" s="8">
        <v>17</v>
      </c>
      <c r="B20" s="8" t="s">
        <v>50</v>
      </c>
      <c r="C20" s="8" t="s">
        <v>51</v>
      </c>
      <c r="D20" s="8" t="str">
        <f>"田积明"</f>
        <v>田积明</v>
      </c>
      <c r="E20" s="8">
        <v>0</v>
      </c>
      <c r="F20" s="8">
        <v>0</v>
      </c>
      <c r="G20" s="8">
        <v>2</v>
      </c>
      <c r="H20" s="8">
        <v>0</v>
      </c>
      <c r="I20" s="8">
        <v>2</v>
      </c>
      <c r="J20" s="8" t="s">
        <v>17</v>
      </c>
      <c r="K20" s="8" t="s">
        <v>19</v>
      </c>
      <c r="L20" s="8"/>
    </row>
    <row r="21" s="1" customFormat="1" ht="25" customHeight="1" spans="1:12">
      <c r="A21" s="8">
        <v>18</v>
      </c>
      <c r="B21" s="8" t="s">
        <v>50</v>
      </c>
      <c r="C21" s="8" t="s">
        <v>51</v>
      </c>
      <c r="D21" s="8" t="str">
        <f>"郭鸿淞"</f>
        <v>郭鸿淞</v>
      </c>
      <c r="E21" s="8">
        <v>0</v>
      </c>
      <c r="F21" s="8">
        <v>0</v>
      </c>
      <c r="G21" s="8">
        <v>2</v>
      </c>
      <c r="H21" s="8">
        <v>0</v>
      </c>
      <c r="I21" s="8">
        <v>2</v>
      </c>
      <c r="J21" s="8" t="s">
        <v>17</v>
      </c>
      <c r="K21" s="8" t="s">
        <v>19</v>
      </c>
      <c r="L21" s="8"/>
    </row>
    <row r="22" s="1" customFormat="1" ht="25" customHeight="1" spans="1:12">
      <c r="A22" s="8">
        <v>19</v>
      </c>
      <c r="B22" s="8" t="s">
        <v>50</v>
      </c>
      <c r="C22" s="8" t="s">
        <v>51</v>
      </c>
      <c r="D22" s="8" t="str">
        <f>"曾宪鹏"</f>
        <v>曾宪鹏</v>
      </c>
      <c r="E22" s="8">
        <v>0</v>
      </c>
      <c r="F22" s="8">
        <v>0</v>
      </c>
      <c r="G22" s="8">
        <v>2</v>
      </c>
      <c r="H22" s="8">
        <v>0</v>
      </c>
      <c r="I22" s="8">
        <v>2</v>
      </c>
      <c r="J22" s="8" t="s">
        <v>17</v>
      </c>
      <c r="K22" s="8" t="s">
        <v>19</v>
      </c>
      <c r="L22" s="8"/>
    </row>
    <row r="23" s="1" customFormat="1" ht="25" customHeight="1" spans="1:12">
      <c r="A23" s="8">
        <v>20</v>
      </c>
      <c r="B23" s="8" t="s">
        <v>50</v>
      </c>
      <c r="C23" s="8" t="s">
        <v>51</v>
      </c>
      <c r="D23" s="8" t="str">
        <f>"邱晓辉"</f>
        <v>邱晓辉</v>
      </c>
      <c r="E23" s="8">
        <v>0</v>
      </c>
      <c r="F23" s="8">
        <v>0</v>
      </c>
      <c r="G23" s="8">
        <v>2</v>
      </c>
      <c r="H23" s="8">
        <v>0</v>
      </c>
      <c r="I23" s="8">
        <v>2</v>
      </c>
      <c r="J23" s="8" t="s">
        <v>17</v>
      </c>
      <c r="K23" s="8" t="s">
        <v>19</v>
      </c>
      <c r="L23" s="8"/>
    </row>
    <row r="24" s="1" customFormat="1" ht="25" customHeight="1" spans="1:12">
      <c r="A24" s="8">
        <v>21</v>
      </c>
      <c r="B24" s="8" t="s">
        <v>50</v>
      </c>
      <c r="C24" s="8" t="s">
        <v>51</v>
      </c>
      <c r="D24" s="8" t="str">
        <f>"殷彬"</f>
        <v>殷彬</v>
      </c>
      <c r="E24" s="8">
        <v>0</v>
      </c>
      <c r="F24" s="8">
        <v>0</v>
      </c>
      <c r="G24" s="8">
        <v>1.5</v>
      </c>
      <c r="H24" s="8">
        <v>0</v>
      </c>
      <c r="I24" s="8">
        <v>1.5</v>
      </c>
      <c r="J24" s="8" t="s">
        <v>17</v>
      </c>
      <c r="K24" s="8" t="s">
        <v>19</v>
      </c>
      <c r="L24" s="8"/>
    </row>
    <row r="25" s="1" customFormat="1" ht="25" customHeight="1" spans="1:12">
      <c r="A25" s="8">
        <v>22</v>
      </c>
      <c r="B25" s="8" t="s">
        <v>50</v>
      </c>
      <c r="C25" s="8" t="s">
        <v>51</v>
      </c>
      <c r="D25" s="8" t="str">
        <f>"陈家盛"</f>
        <v>陈家盛</v>
      </c>
      <c r="E25" s="8">
        <v>1</v>
      </c>
      <c r="F25" s="8">
        <v>0</v>
      </c>
      <c r="G25" s="8">
        <v>0</v>
      </c>
      <c r="H25" s="8">
        <v>0</v>
      </c>
      <c r="I25" s="8">
        <v>1</v>
      </c>
      <c r="J25" s="8" t="s">
        <v>17</v>
      </c>
      <c r="K25" s="8" t="s">
        <v>19</v>
      </c>
      <c r="L25" s="8"/>
    </row>
    <row r="26" s="1" customFormat="1" ht="25" customHeight="1" spans="1:12">
      <c r="A26" s="8">
        <v>23</v>
      </c>
      <c r="B26" s="8" t="s">
        <v>50</v>
      </c>
      <c r="C26" s="8" t="s">
        <v>51</v>
      </c>
      <c r="D26" s="8" t="str">
        <f>"胡乙平"</f>
        <v>胡乙平</v>
      </c>
      <c r="E26" s="8">
        <v>0</v>
      </c>
      <c r="F26" s="8">
        <v>0</v>
      </c>
      <c r="G26" s="8">
        <v>1</v>
      </c>
      <c r="H26" s="8">
        <v>0</v>
      </c>
      <c r="I26" s="8">
        <v>1</v>
      </c>
      <c r="J26" s="8" t="s">
        <v>17</v>
      </c>
      <c r="K26" s="8" t="s">
        <v>19</v>
      </c>
      <c r="L26" s="8"/>
    </row>
    <row r="27" s="1" customFormat="1" ht="25" customHeight="1" spans="1:12">
      <c r="A27" s="8">
        <v>24</v>
      </c>
      <c r="B27" s="8" t="s">
        <v>50</v>
      </c>
      <c r="C27" s="8" t="s">
        <v>51</v>
      </c>
      <c r="D27" s="8" t="str">
        <f>"杨淀"</f>
        <v>杨淀</v>
      </c>
      <c r="E27" s="8">
        <v>1</v>
      </c>
      <c r="F27" s="8">
        <v>0</v>
      </c>
      <c r="G27" s="8">
        <v>0</v>
      </c>
      <c r="H27" s="8">
        <v>0</v>
      </c>
      <c r="I27" s="8">
        <v>1</v>
      </c>
      <c r="J27" s="8" t="s">
        <v>17</v>
      </c>
      <c r="K27" s="8" t="s">
        <v>19</v>
      </c>
      <c r="L27" s="8"/>
    </row>
    <row r="28" s="1" customFormat="1" ht="25" customHeight="1" spans="1:12">
      <c r="A28" s="8">
        <v>25</v>
      </c>
      <c r="B28" s="8" t="s">
        <v>50</v>
      </c>
      <c r="C28" s="8" t="s">
        <v>51</v>
      </c>
      <c r="D28" s="8" t="str">
        <f>"王振发"</f>
        <v>王振发</v>
      </c>
      <c r="E28" s="8">
        <v>1</v>
      </c>
      <c r="F28" s="8">
        <v>0</v>
      </c>
      <c r="G28" s="8">
        <v>0</v>
      </c>
      <c r="H28" s="8">
        <v>0</v>
      </c>
      <c r="I28" s="8">
        <v>1</v>
      </c>
      <c r="J28" s="8" t="s">
        <v>17</v>
      </c>
      <c r="K28" s="8" t="s">
        <v>19</v>
      </c>
      <c r="L28" s="8"/>
    </row>
    <row r="29" s="1" customFormat="1" ht="25" customHeight="1" spans="1:12">
      <c r="A29" s="8">
        <v>26</v>
      </c>
      <c r="B29" s="8" t="s">
        <v>50</v>
      </c>
      <c r="C29" s="8" t="s">
        <v>51</v>
      </c>
      <c r="D29" s="8" t="str">
        <f>"何开甲"</f>
        <v>何开甲</v>
      </c>
      <c r="E29" s="8">
        <v>0</v>
      </c>
      <c r="F29" s="8">
        <v>0</v>
      </c>
      <c r="G29" s="8">
        <v>1</v>
      </c>
      <c r="H29" s="8">
        <v>0</v>
      </c>
      <c r="I29" s="8">
        <v>1</v>
      </c>
      <c r="J29" s="8" t="s">
        <v>17</v>
      </c>
      <c r="K29" s="8" t="s">
        <v>19</v>
      </c>
      <c r="L29" s="8"/>
    </row>
    <row r="30" s="1" customFormat="1" ht="25" customHeight="1" spans="1:12">
      <c r="A30" s="8">
        <v>27</v>
      </c>
      <c r="B30" s="8" t="s">
        <v>50</v>
      </c>
      <c r="C30" s="8" t="s">
        <v>51</v>
      </c>
      <c r="D30" s="8" t="str">
        <f>"黄庆庆"</f>
        <v>黄庆庆</v>
      </c>
      <c r="E30" s="8">
        <v>1</v>
      </c>
      <c r="F30" s="8">
        <v>0</v>
      </c>
      <c r="G30" s="8">
        <v>0</v>
      </c>
      <c r="H30" s="8">
        <v>0</v>
      </c>
      <c r="I30" s="8">
        <v>1</v>
      </c>
      <c r="J30" s="8" t="s">
        <v>17</v>
      </c>
      <c r="K30" s="8" t="s">
        <v>19</v>
      </c>
      <c r="L30" s="8"/>
    </row>
    <row r="31" s="1" customFormat="1" ht="25" customHeight="1" spans="1:12">
      <c r="A31" s="8">
        <v>28</v>
      </c>
      <c r="B31" s="8" t="s">
        <v>50</v>
      </c>
      <c r="C31" s="8" t="s">
        <v>51</v>
      </c>
      <c r="D31" s="8" t="str">
        <f>"庄家宇"</f>
        <v>庄家宇</v>
      </c>
      <c r="E31" s="8">
        <v>0</v>
      </c>
      <c r="F31" s="8">
        <v>0</v>
      </c>
      <c r="G31" s="8">
        <v>1</v>
      </c>
      <c r="H31" s="8">
        <v>0</v>
      </c>
      <c r="I31" s="8">
        <v>1</v>
      </c>
      <c r="J31" s="8" t="s">
        <v>17</v>
      </c>
      <c r="K31" s="8" t="s">
        <v>19</v>
      </c>
      <c r="L31" s="8"/>
    </row>
    <row r="32" s="1" customFormat="1" ht="25" customHeight="1" spans="1:12">
      <c r="A32" s="8">
        <v>29</v>
      </c>
      <c r="B32" s="8" t="s">
        <v>50</v>
      </c>
      <c r="C32" s="8" t="s">
        <v>51</v>
      </c>
      <c r="D32" s="8" t="str">
        <f>"陈育伟"</f>
        <v>陈育伟</v>
      </c>
      <c r="E32" s="8">
        <v>0</v>
      </c>
      <c r="F32" s="8">
        <v>0</v>
      </c>
      <c r="G32" s="8">
        <v>1</v>
      </c>
      <c r="H32" s="8">
        <v>0</v>
      </c>
      <c r="I32" s="8">
        <v>1</v>
      </c>
      <c r="J32" s="8" t="s">
        <v>17</v>
      </c>
      <c r="K32" s="8" t="s">
        <v>19</v>
      </c>
      <c r="L32" s="8"/>
    </row>
    <row r="33" s="1" customFormat="1" ht="25" customHeight="1" spans="1:12">
      <c r="A33" s="8">
        <v>30</v>
      </c>
      <c r="B33" s="8" t="s">
        <v>50</v>
      </c>
      <c r="C33" s="8" t="s">
        <v>51</v>
      </c>
      <c r="D33" s="8" t="str">
        <f>"邱金海"</f>
        <v>邱金海</v>
      </c>
      <c r="E33" s="8">
        <v>1</v>
      </c>
      <c r="F33" s="8">
        <v>0</v>
      </c>
      <c r="G33" s="8">
        <v>0</v>
      </c>
      <c r="H33" s="8">
        <v>0</v>
      </c>
      <c r="I33" s="8">
        <v>1</v>
      </c>
      <c r="J33" s="8" t="s">
        <v>17</v>
      </c>
      <c r="K33" s="8" t="s">
        <v>19</v>
      </c>
      <c r="L33" s="8"/>
    </row>
    <row r="34" s="1" customFormat="1" ht="25" customHeight="1" spans="1:12">
      <c r="A34" s="8">
        <v>31</v>
      </c>
      <c r="B34" s="8" t="s">
        <v>50</v>
      </c>
      <c r="C34" s="8" t="s">
        <v>51</v>
      </c>
      <c r="D34" s="8" t="str">
        <f>"陈泓材"</f>
        <v>陈泓材</v>
      </c>
      <c r="E34" s="8">
        <v>0</v>
      </c>
      <c r="F34" s="8">
        <v>0</v>
      </c>
      <c r="G34" s="8">
        <v>0.5</v>
      </c>
      <c r="H34" s="8">
        <v>0</v>
      </c>
      <c r="I34" s="8">
        <v>0.5</v>
      </c>
      <c r="J34" s="8" t="s">
        <v>17</v>
      </c>
      <c r="K34" s="8" t="s">
        <v>19</v>
      </c>
      <c r="L34" s="8"/>
    </row>
    <row r="35" s="1" customFormat="1" ht="25" customHeight="1" spans="1:12">
      <c r="A35" s="8">
        <v>32</v>
      </c>
      <c r="B35" s="8" t="s">
        <v>50</v>
      </c>
      <c r="C35" s="8" t="s">
        <v>51</v>
      </c>
      <c r="D35" s="8" t="str">
        <f>"陈振锋"</f>
        <v>陈振锋</v>
      </c>
      <c r="E35" s="8">
        <v>0</v>
      </c>
      <c r="F35" s="8">
        <v>0</v>
      </c>
      <c r="G35" s="8">
        <v>0.5</v>
      </c>
      <c r="H35" s="8">
        <v>0</v>
      </c>
      <c r="I35" s="8">
        <v>0.5</v>
      </c>
      <c r="J35" s="8" t="s">
        <v>17</v>
      </c>
      <c r="K35" s="8" t="s">
        <v>19</v>
      </c>
      <c r="L35" s="8"/>
    </row>
    <row r="36" s="1" customFormat="1" ht="25" customHeight="1" spans="1:12">
      <c r="A36" s="8">
        <v>33</v>
      </c>
      <c r="B36" s="8" t="s">
        <v>50</v>
      </c>
      <c r="C36" s="8" t="s">
        <v>51</v>
      </c>
      <c r="D36" s="8" t="str">
        <f>"陈善景"</f>
        <v>陈善景</v>
      </c>
      <c r="E36" s="8">
        <v>0</v>
      </c>
      <c r="F36" s="8">
        <v>0</v>
      </c>
      <c r="G36" s="8">
        <v>0.5</v>
      </c>
      <c r="H36" s="8">
        <v>0</v>
      </c>
      <c r="I36" s="8">
        <v>0.5</v>
      </c>
      <c r="J36" s="8" t="s">
        <v>17</v>
      </c>
      <c r="K36" s="8" t="s">
        <v>19</v>
      </c>
      <c r="L36" s="8"/>
    </row>
    <row r="37" s="1" customFormat="1" ht="25" customHeight="1" spans="1:12">
      <c r="A37" s="8">
        <v>34</v>
      </c>
      <c r="B37" s="8" t="s">
        <v>50</v>
      </c>
      <c r="C37" s="8" t="s">
        <v>51</v>
      </c>
      <c r="D37" s="8" t="str">
        <f>"许舒新"</f>
        <v>许舒新</v>
      </c>
      <c r="E37" s="8">
        <v>0</v>
      </c>
      <c r="F37" s="8">
        <v>0</v>
      </c>
      <c r="G37" s="8">
        <v>0.5</v>
      </c>
      <c r="H37" s="8">
        <v>0</v>
      </c>
      <c r="I37" s="8">
        <v>0.5</v>
      </c>
      <c r="J37" s="8" t="s">
        <v>17</v>
      </c>
      <c r="K37" s="8" t="s">
        <v>19</v>
      </c>
      <c r="L37" s="8"/>
    </row>
    <row r="38" s="1" customFormat="1" ht="25" customHeight="1" spans="1:12">
      <c r="A38" s="8">
        <v>35</v>
      </c>
      <c r="B38" s="8" t="s">
        <v>50</v>
      </c>
      <c r="C38" s="8" t="s">
        <v>51</v>
      </c>
      <c r="D38" s="8" t="str">
        <f>"吉才鹰"</f>
        <v>吉才鹰</v>
      </c>
      <c r="E38" s="8">
        <v>0</v>
      </c>
      <c r="F38" s="8">
        <v>0</v>
      </c>
      <c r="G38" s="8">
        <v>0</v>
      </c>
      <c r="H38" s="8">
        <v>0</v>
      </c>
      <c r="I38" s="8">
        <v>0</v>
      </c>
      <c r="J38" s="8" t="s">
        <v>17</v>
      </c>
      <c r="K38" s="8" t="s">
        <v>19</v>
      </c>
      <c r="L38" s="8"/>
    </row>
    <row r="39" s="1" customFormat="1" ht="25" customHeight="1" spans="1:12">
      <c r="A39" s="8">
        <v>36</v>
      </c>
      <c r="B39" s="8" t="s">
        <v>50</v>
      </c>
      <c r="C39" s="8" t="s">
        <v>51</v>
      </c>
      <c r="D39" s="8" t="str">
        <f>"包志伟"</f>
        <v>包志伟</v>
      </c>
      <c r="E39" s="8">
        <v>0</v>
      </c>
      <c r="F39" s="8">
        <v>0</v>
      </c>
      <c r="G39" s="8">
        <v>0</v>
      </c>
      <c r="H39" s="8">
        <v>0</v>
      </c>
      <c r="I39" s="8">
        <v>0</v>
      </c>
      <c r="J39" s="8" t="s">
        <v>17</v>
      </c>
      <c r="K39" s="8" t="s">
        <v>19</v>
      </c>
      <c r="L39" s="8"/>
    </row>
    <row r="40" s="1" customFormat="1" ht="25" customHeight="1" spans="1:12">
      <c r="A40" s="8">
        <v>37</v>
      </c>
      <c r="B40" s="8" t="s">
        <v>50</v>
      </c>
      <c r="C40" s="8" t="s">
        <v>51</v>
      </c>
      <c r="D40" s="8" t="str">
        <f>"王蕊"</f>
        <v>王蕊</v>
      </c>
      <c r="E40" s="8">
        <v>0</v>
      </c>
      <c r="F40" s="8">
        <v>0</v>
      </c>
      <c r="G40" s="8">
        <v>0</v>
      </c>
      <c r="H40" s="8">
        <v>0</v>
      </c>
      <c r="I40" s="8">
        <v>0</v>
      </c>
      <c r="J40" s="8" t="s">
        <v>17</v>
      </c>
      <c r="K40" s="8" t="s">
        <v>19</v>
      </c>
      <c r="L40" s="8"/>
    </row>
    <row r="41" s="1" customFormat="1" ht="25" customHeight="1" spans="1:12">
      <c r="A41" s="8">
        <v>38</v>
      </c>
      <c r="B41" s="8" t="s">
        <v>50</v>
      </c>
      <c r="C41" s="8" t="s">
        <v>51</v>
      </c>
      <c r="D41" s="8" t="str">
        <f>"符式团"</f>
        <v>符式团</v>
      </c>
      <c r="E41" s="8">
        <v>0</v>
      </c>
      <c r="F41" s="8">
        <v>0</v>
      </c>
      <c r="G41" s="8">
        <v>0</v>
      </c>
      <c r="H41" s="8">
        <v>0</v>
      </c>
      <c r="I41" s="8">
        <v>0</v>
      </c>
      <c r="J41" s="8" t="s">
        <v>17</v>
      </c>
      <c r="K41" s="8" t="s">
        <v>19</v>
      </c>
      <c r="L41" s="8"/>
    </row>
    <row r="42" s="1" customFormat="1" ht="25" customHeight="1" spans="1:12">
      <c r="A42" s="8">
        <v>39</v>
      </c>
      <c r="B42" s="8" t="s">
        <v>50</v>
      </c>
      <c r="C42" s="8" t="s">
        <v>51</v>
      </c>
      <c r="D42" s="8" t="str">
        <f>"刘旭"</f>
        <v>刘旭</v>
      </c>
      <c r="E42" s="8">
        <v>0</v>
      </c>
      <c r="F42" s="8">
        <v>0</v>
      </c>
      <c r="G42" s="8">
        <v>0</v>
      </c>
      <c r="H42" s="8">
        <v>0</v>
      </c>
      <c r="I42" s="8">
        <v>0</v>
      </c>
      <c r="J42" s="8" t="s">
        <v>17</v>
      </c>
      <c r="K42" s="8" t="s">
        <v>19</v>
      </c>
      <c r="L42" s="8"/>
    </row>
    <row r="43" s="1" customFormat="1" ht="25" customHeight="1" spans="1:12">
      <c r="A43" s="8">
        <v>40</v>
      </c>
      <c r="B43" s="8" t="s">
        <v>50</v>
      </c>
      <c r="C43" s="8" t="s">
        <v>51</v>
      </c>
      <c r="D43" s="8" t="str">
        <f>"张定城"</f>
        <v>张定城</v>
      </c>
      <c r="E43" s="8">
        <v>0</v>
      </c>
      <c r="F43" s="8">
        <v>0</v>
      </c>
      <c r="G43" s="8">
        <v>0</v>
      </c>
      <c r="H43" s="8">
        <v>0</v>
      </c>
      <c r="I43" s="8">
        <v>0</v>
      </c>
      <c r="J43" s="8" t="s">
        <v>17</v>
      </c>
      <c r="K43" s="8" t="s">
        <v>19</v>
      </c>
      <c r="L43" s="8"/>
    </row>
    <row r="44" s="1" customFormat="1" ht="25" customHeight="1" spans="1:12">
      <c r="A44" s="8">
        <v>41</v>
      </c>
      <c r="B44" s="8" t="s">
        <v>50</v>
      </c>
      <c r="C44" s="8" t="s">
        <v>51</v>
      </c>
      <c r="D44" s="8" t="str">
        <f>"林世融"</f>
        <v>林世融</v>
      </c>
      <c r="E44" s="8">
        <v>0</v>
      </c>
      <c r="F44" s="8">
        <v>0</v>
      </c>
      <c r="G44" s="8">
        <v>0</v>
      </c>
      <c r="H44" s="8">
        <v>0</v>
      </c>
      <c r="I44" s="8">
        <v>0</v>
      </c>
      <c r="J44" s="8" t="s">
        <v>17</v>
      </c>
      <c r="K44" s="8" t="s">
        <v>19</v>
      </c>
      <c r="L44" s="8"/>
    </row>
    <row r="45" s="1" customFormat="1" ht="25" customHeight="1" spans="1:12">
      <c r="A45" s="8">
        <v>42</v>
      </c>
      <c r="B45" s="8" t="s">
        <v>50</v>
      </c>
      <c r="C45" s="8" t="s">
        <v>51</v>
      </c>
      <c r="D45" s="8" t="str">
        <f>"许炳青"</f>
        <v>许炳青</v>
      </c>
      <c r="E45" s="8">
        <v>0</v>
      </c>
      <c r="F45" s="8">
        <v>0</v>
      </c>
      <c r="G45" s="8">
        <v>0</v>
      </c>
      <c r="H45" s="8">
        <v>0</v>
      </c>
      <c r="I45" s="8">
        <v>0</v>
      </c>
      <c r="J45" s="8" t="s">
        <v>17</v>
      </c>
      <c r="K45" s="8" t="s">
        <v>19</v>
      </c>
      <c r="L45" s="8"/>
    </row>
    <row r="46" s="1" customFormat="1" ht="25" customHeight="1" spans="1:12">
      <c r="A46" s="8">
        <v>43</v>
      </c>
      <c r="B46" s="8" t="s">
        <v>50</v>
      </c>
      <c r="C46" s="8" t="s">
        <v>51</v>
      </c>
      <c r="D46" s="8" t="str">
        <f>"邢圣业"</f>
        <v>邢圣业</v>
      </c>
      <c r="E46" s="8">
        <v>0</v>
      </c>
      <c r="F46" s="8">
        <v>0</v>
      </c>
      <c r="G46" s="8">
        <v>0</v>
      </c>
      <c r="H46" s="8">
        <v>0</v>
      </c>
      <c r="I46" s="8">
        <v>0</v>
      </c>
      <c r="J46" s="8" t="s">
        <v>17</v>
      </c>
      <c r="K46" s="8" t="s">
        <v>19</v>
      </c>
      <c r="L46" s="8"/>
    </row>
    <row r="47" s="1" customFormat="1" ht="25" customHeight="1" spans="1:12">
      <c r="A47" s="8">
        <v>44</v>
      </c>
      <c r="B47" s="8" t="s">
        <v>50</v>
      </c>
      <c r="C47" s="8" t="s">
        <v>51</v>
      </c>
      <c r="D47" s="8" t="str">
        <f>"李强来"</f>
        <v>李强来</v>
      </c>
      <c r="E47" s="8">
        <v>0</v>
      </c>
      <c r="F47" s="8">
        <v>0</v>
      </c>
      <c r="G47" s="8">
        <v>0</v>
      </c>
      <c r="H47" s="8">
        <v>0</v>
      </c>
      <c r="I47" s="8">
        <v>0</v>
      </c>
      <c r="J47" s="8" t="s">
        <v>17</v>
      </c>
      <c r="K47" s="8" t="s">
        <v>19</v>
      </c>
      <c r="L47" s="8"/>
    </row>
    <row r="48" s="1" customFormat="1" ht="25" customHeight="1" spans="1:12">
      <c r="A48" s="8">
        <v>45</v>
      </c>
      <c r="B48" s="8" t="s">
        <v>50</v>
      </c>
      <c r="C48" s="8" t="s">
        <v>51</v>
      </c>
      <c r="D48" s="8" t="str">
        <f>"张智超"</f>
        <v>张智超</v>
      </c>
      <c r="E48" s="8">
        <v>0</v>
      </c>
      <c r="F48" s="8">
        <v>0</v>
      </c>
      <c r="G48" s="8">
        <v>0</v>
      </c>
      <c r="H48" s="8">
        <v>0</v>
      </c>
      <c r="I48" s="8">
        <v>0</v>
      </c>
      <c r="J48" s="8" t="s">
        <v>17</v>
      </c>
      <c r="K48" s="8" t="s">
        <v>19</v>
      </c>
      <c r="L48" s="8"/>
    </row>
    <row r="49" s="1" customFormat="1" ht="25" customHeight="1" spans="1:12">
      <c r="A49" s="8">
        <v>46</v>
      </c>
      <c r="B49" s="8" t="s">
        <v>50</v>
      </c>
      <c r="C49" s="8" t="s">
        <v>51</v>
      </c>
      <c r="D49" s="8" t="str">
        <f>"叶文熊"</f>
        <v>叶文熊</v>
      </c>
      <c r="E49" s="8">
        <v>0</v>
      </c>
      <c r="F49" s="8">
        <v>0</v>
      </c>
      <c r="G49" s="8">
        <v>0</v>
      </c>
      <c r="H49" s="8">
        <v>0</v>
      </c>
      <c r="I49" s="8">
        <v>0</v>
      </c>
      <c r="J49" s="8" t="s">
        <v>17</v>
      </c>
      <c r="K49" s="8" t="s">
        <v>19</v>
      </c>
      <c r="L49" s="8"/>
    </row>
    <row r="50" s="1" customFormat="1" ht="25" customHeight="1" spans="1:12">
      <c r="A50" s="8">
        <v>47</v>
      </c>
      <c r="B50" s="8" t="s">
        <v>50</v>
      </c>
      <c r="C50" s="8" t="s">
        <v>51</v>
      </c>
      <c r="D50" s="8" t="str">
        <f>"王修齐"</f>
        <v>王修齐</v>
      </c>
      <c r="E50" s="8">
        <v>0</v>
      </c>
      <c r="F50" s="8">
        <v>0</v>
      </c>
      <c r="G50" s="8">
        <v>0</v>
      </c>
      <c r="H50" s="8">
        <v>0</v>
      </c>
      <c r="I50" s="8">
        <v>0</v>
      </c>
      <c r="J50" s="8" t="s">
        <v>17</v>
      </c>
      <c r="K50" s="8" t="s">
        <v>19</v>
      </c>
      <c r="L50" s="8"/>
    </row>
    <row r="51" s="1" customFormat="1" ht="25" customHeight="1" spans="1:12">
      <c r="A51" s="8">
        <v>48</v>
      </c>
      <c r="B51" s="8" t="s">
        <v>50</v>
      </c>
      <c r="C51" s="8" t="s">
        <v>51</v>
      </c>
      <c r="D51" s="8" t="str">
        <f>"劳永茜"</f>
        <v>劳永茜</v>
      </c>
      <c r="E51" s="8">
        <v>0</v>
      </c>
      <c r="F51" s="8">
        <v>0</v>
      </c>
      <c r="G51" s="8">
        <v>0</v>
      </c>
      <c r="H51" s="8">
        <v>0</v>
      </c>
      <c r="I51" s="8">
        <v>0</v>
      </c>
      <c r="J51" s="8" t="s">
        <v>17</v>
      </c>
      <c r="K51" s="8" t="s">
        <v>19</v>
      </c>
      <c r="L51" s="8"/>
    </row>
    <row r="52" s="1" customFormat="1" ht="25" customHeight="1" spans="1:12">
      <c r="A52" s="8">
        <v>49</v>
      </c>
      <c r="B52" s="8" t="s">
        <v>50</v>
      </c>
      <c r="C52" s="8" t="s">
        <v>51</v>
      </c>
      <c r="D52" s="8" t="str">
        <f>"李有钦"</f>
        <v>李有钦</v>
      </c>
      <c r="E52" s="8">
        <v>0</v>
      </c>
      <c r="F52" s="8">
        <v>0</v>
      </c>
      <c r="G52" s="8">
        <v>0</v>
      </c>
      <c r="H52" s="8">
        <v>0</v>
      </c>
      <c r="I52" s="8">
        <v>0</v>
      </c>
      <c r="J52" s="8" t="s">
        <v>17</v>
      </c>
      <c r="K52" s="8" t="s">
        <v>19</v>
      </c>
      <c r="L52" s="8"/>
    </row>
    <row r="53" s="1" customFormat="1" ht="25" customHeight="1" spans="1:12">
      <c r="A53" s="8">
        <v>50</v>
      </c>
      <c r="B53" s="8" t="s">
        <v>50</v>
      </c>
      <c r="C53" s="8" t="s">
        <v>51</v>
      </c>
      <c r="D53" s="8" t="str">
        <f>"周子豪"</f>
        <v>周子豪</v>
      </c>
      <c r="E53" s="8">
        <v>0</v>
      </c>
      <c r="F53" s="8">
        <v>0</v>
      </c>
      <c r="G53" s="8">
        <v>0</v>
      </c>
      <c r="H53" s="8">
        <v>0</v>
      </c>
      <c r="I53" s="8">
        <v>0</v>
      </c>
      <c r="J53" s="8" t="s">
        <v>17</v>
      </c>
      <c r="K53" s="8" t="s">
        <v>19</v>
      </c>
      <c r="L53" s="8"/>
    </row>
    <row r="54" s="1" customFormat="1" ht="25" customHeight="1" spans="1:12">
      <c r="A54" s="8">
        <v>51</v>
      </c>
      <c r="B54" s="8" t="s">
        <v>50</v>
      </c>
      <c r="C54" s="8" t="s">
        <v>51</v>
      </c>
      <c r="D54" s="8" t="str">
        <f>"羊定良"</f>
        <v>羊定良</v>
      </c>
      <c r="E54" s="8">
        <v>0</v>
      </c>
      <c r="F54" s="8">
        <v>0</v>
      </c>
      <c r="G54" s="8">
        <v>0</v>
      </c>
      <c r="H54" s="8">
        <v>0</v>
      </c>
      <c r="I54" s="8">
        <v>0</v>
      </c>
      <c r="J54" s="8" t="s">
        <v>17</v>
      </c>
      <c r="K54" s="8" t="s">
        <v>19</v>
      </c>
      <c r="L54" s="8"/>
    </row>
  </sheetData>
  <sheetProtection password="9F33" sheet="1" objects="1"/>
  <sortState ref="D3:I53">
    <sortCondition ref="I3:I53" descending="1"/>
  </sortState>
  <mergeCells count="10">
    <mergeCell ref="A1:L1"/>
    <mergeCell ref="E2:H2"/>
    <mergeCell ref="A2:A3"/>
    <mergeCell ref="B2:B3"/>
    <mergeCell ref="C2:C3"/>
    <mergeCell ref="D2:D3"/>
    <mergeCell ref="I2:I3"/>
    <mergeCell ref="J2:J3"/>
    <mergeCell ref="K2:K3"/>
    <mergeCell ref="L2:L3"/>
  </mergeCells>
  <pageMargins left="0.700694444444445" right="0.700694444444445" top="0.751388888888889" bottom="0.751388888888889" header="0.297916666666667" footer="0.297916666666667"/>
  <pageSetup paperSize="9" orientation="portrait"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5"/>
  <sheetViews>
    <sheetView topLeftCell="A7" workbookViewId="0">
      <selection activeCell="I6" sqref="I6"/>
    </sheetView>
  </sheetViews>
  <sheetFormatPr defaultColWidth="8.70833333333333" defaultRowHeight="14.25"/>
  <cols>
    <col min="1" max="1" width="5.625" style="17" customWidth="1"/>
    <col min="2" max="2" width="13.75" style="17" customWidth="1"/>
    <col min="3" max="3" width="20.375" style="17" customWidth="1"/>
    <col min="4" max="4" width="7.375" style="17" customWidth="1"/>
    <col min="5" max="5" width="21.25" style="17" customWidth="1"/>
    <col min="6" max="6" width="16.75" style="17" customWidth="1"/>
    <col min="7" max="7" width="16" style="17" customWidth="1"/>
    <col min="8" max="8" width="15.25" style="17" customWidth="1"/>
    <col min="9" max="11" width="9.625" style="17" customWidth="1"/>
    <col min="12" max="12" width="6.625" style="17" customWidth="1"/>
    <col min="13" max="16384" width="9" style="17"/>
  </cols>
  <sheetData>
    <row r="1" s="2" customFormat="1" ht="85" customHeight="1" spans="1:12">
      <c r="A1" s="18" t="s">
        <v>0</v>
      </c>
      <c r="B1" s="18"/>
      <c r="C1" s="18"/>
      <c r="D1" s="18"/>
      <c r="E1" s="18"/>
      <c r="F1" s="18"/>
      <c r="G1" s="18"/>
      <c r="H1" s="18"/>
      <c r="I1" s="18"/>
      <c r="J1" s="18"/>
      <c r="K1" s="18"/>
      <c r="L1" s="18"/>
    </row>
    <row r="2" s="2" customFormat="1" ht="33" customHeight="1" spans="1:12">
      <c r="A2" s="6" t="s">
        <v>1</v>
      </c>
      <c r="B2" s="6" t="s">
        <v>2</v>
      </c>
      <c r="C2" s="6" t="s">
        <v>3</v>
      </c>
      <c r="D2" s="6" t="s">
        <v>4</v>
      </c>
      <c r="E2" s="6" t="s">
        <v>5</v>
      </c>
      <c r="F2" s="6"/>
      <c r="G2" s="6"/>
      <c r="H2" s="6"/>
      <c r="I2" s="19" t="s">
        <v>20</v>
      </c>
      <c r="J2" s="19" t="s">
        <v>7</v>
      </c>
      <c r="K2" s="7" t="s">
        <v>8</v>
      </c>
      <c r="L2" s="6" t="s">
        <v>9</v>
      </c>
    </row>
    <row r="3" s="3" customFormat="1" ht="99.75" spans="1:12">
      <c r="A3" s="6"/>
      <c r="B3" s="6"/>
      <c r="C3" s="6"/>
      <c r="D3" s="6"/>
      <c r="E3" s="7" t="s">
        <v>10</v>
      </c>
      <c r="F3" s="7" t="s">
        <v>47</v>
      </c>
      <c r="G3" s="7" t="s">
        <v>48</v>
      </c>
      <c r="H3" s="7" t="s">
        <v>49</v>
      </c>
      <c r="I3" s="20"/>
      <c r="J3" s="20"/>
      <c r="K3" s="7"/>
      <c r="L3" s="6"/>
    </row>
    <row r="4" s="2" customFormat="1" ht="26.95" customHeight="1" spans="1:12">
      <c r="A4" s="8">
        <v>1</v>
      </c>
      <c r="B4" s="8" t="s">
        <v>52</v>
      </c>
      <c r="C4" s="8" t="s">
        <v>51</v>
      </c>
      <c r="D4" s="8" t="s">
        <v>53</v>
      </c>
      <c r="E4" s="9">
        <v>3</v>
      </c>
      <c r="F4" s="9">
        <v>0</v>
      </c>
      <c r="G4" s="9">
        <v>2</v>
      </c>
      <c r="H4" s="9">
        <v>0</v>
      </c>
      <c r="I4" s="21">
        <v>5</v>
      </c>
      <c r="J4" s="21" t="s">
        <v>17</v>
      </c>
      <c r="K4" s="9" t="s">
        <v>18</v>
      </c>
      <c r="L4" s="8"/>
    </row>
    <row r="5" s="2" customFormat="1" ht="25" customHeight="1" spans="1:12">
      <c r="A5" s="8">
        <v>2</v>
      </c>
      <c r="B5" s="8" t="s">
        <v>52</v>
      </c>
      <c r="C5" s="8" t="s">
        <v>51</v>
      </c>
      <c r="D5" s="8" t="str">
        <f>"宋歌"</f>
        <v>宋歌</v>
      </c>
      <c r="E5" s="8">
        <v>0</v>
      </c>
      <c r="F5" s="9">
        <v>0</v>
      </c>
      <c r="G5" s="8">
        <v>3.5</v>
      </c>
      <c r="H5" s="9">
        <v>0</v>
      </c>
      <c r="I5" s="8">
        <v>3.5</v>
      </c>
      <c r="J5" s="21" t="s">
        <v>17</v>
      </c>
      <c r="K5" s="9" t="s">
        <v>18</v>
      </c>
      <c r="L5" s="8"/>
    </row>
    <row r="6" s="2" customFormat="1" ht="25" customHeight="1" spans="1:12">
      <c r="A6" s="8">
        <v>3</v>
      </c>
      <c r="B6" s="8" t="s">
        <v>52</v>
      </c>
      <c r="C6" s="8" t="s">
        <v>51</v>
      </c>
      <c r="D6" s="8" t="str">
        <f>"蔡冠鑫"</f>
        <v>蔡冠鑫</v>
      </c>
      <c r="E6" s="8">
        <v>3</v>
      </c>
      <c r="F6" s="9">
        <v>0</v>
      </c>
      <c r="G6" s="8">
        <v>0</v>
      </c>
      <c r="H6" s="9">
        <v>0</v>
      </c>
      <c r="I6" s="8">
        <v>3</v>
      </c>
      <c r="J6" s="21" t="s">
        <v>17</v>
      </c>
      <c r="K6" s="9" t="s">
        <v>18</v>
      </c>
      <c r="L6" s="8"/>
    </row>
    <row r="7" s="2" customFormat="1" ht="25" customHeight="1" spans="1:12">
      <c r="A7" s="8">
        <v>4</v>
      </c>
      <c r="B7" s="8" t="s">
        <v>52</v>
      </c>
      <c r="C7" s="8" t="s">
        <v>51</v>
      </c>
      <c r="D7" s="8" t="str">
        <f>"杜薇薇"</f>
        <v>杜薇薇</v>
      </c>
      <c r="E7" s="8">
        <v>0</v>
      </c>
      <c r="F7" s="9">
        <v>0</v>
      </c>
      <c r="G7" s="8">
        <v>0</v>
      </c>
      <c r="H7" s="9">
        <v>0</v>
      </c>
      <c r="I7" s="8">
        <v>0</v>
      </c>
      <c r="J7" s="21" t="s">
        <v>17</v>
      </c>
      <c r="K7" s="9" t="s">
        <v>18</v>
      </c>
      <c r="L7" s="8"/>
    </row>
    <row r="8" s="2" customFormat="1" ht="25" customHeight="1" spans="1:12">
      <c r="A8" s="8">
        <v>5</v>
      </c>
      <c r="B8" s="8" t="s">
        <v>52</v>
      </c>
      <c r="C8" s="8" t="s">
        <v>51</v>
      </c>
      <c r="D8" s="8" t="str">
        <f>"林鸿昌"</f>
        <v>林鸿昌</v>
      </c>
      <c r="E8" s="8">
        <v>0</v>
      </c>
      <c r="F8" s="9">
        <v>0</v>
      </c>
      <c r="G8" s="8">
        <v>0</v>
      </c>
      <c r="H8" s="9">
        <v>0</v>
      </c>
      <c r="I8" s="8">
        <v>0</v>
      </c>
      <c r="J8" s="21" t="s">
        <v>17</v>
      </c>
      <c r="K8" s="9" t="s">
        <v>18</v>
      </c>
      <c r="L8" s="8"/>
    </row>
    <row r="9" s="2" customFormat="1" ht="25" customHeight="1" spans="1:12">
      <c r="A9" s="8">
        <v>6</v>
      </c>
      <c r="B9" s="8" t="s">
        <v>52</v>
      </c>
      <c r="C9" s="8" t="s">
        <v>51</v>
      </c>
      <c r="D9" s="8" t="str">
        <f>"王艳艳"</f>
        <v>王艳艳</v>
      </c>
      <c r="E9" s="8">
        <v>0</v>
      </c>
      <c r="F9" s="9">
        <v>0</v>
      </c>
      <c r="G9" s="8">
        <v>0</v>
      </c>
      <c r="H9" s="9">
        <v>0</v>
      </c>
      <c r="I9" s="8">
        <v>0</v>
      </c>
      <c r="J9" s="21" t="s">
        <v>17</v>
      </c>
      <c r="K9" s="9" t="s">
        <v>18</v>
      </c>
      <c r="L9" s="8"/>
    </row>
    <row r="10" s="2" customFormat="1" ht="25" customHeight="1" spans="1:12">
      <c r="A10" s="8">
        <v>7</v>
      </c>
      <c r="B10" s="8" t="s">
        <v>52</v>
      </c>
      <c r="C10" s="8" t="s">
        <v>51</v>
      </c>
      <c r="D10" s="8" t="str">
        <f>"王景春"</f>
        <v>王景春</v>
      </c>
      <c r="E10" s="8">
        <v>0</v>
      </c>
      <c r="F10" s="9">
        <v>0</v>
      </c>
      <c r="G10" s="8">
        <v>0</v>
      </c>
      <c r="H10" s="9">
        <v>0</v>
      </c>
      <c r="I10" s="8">
        <v>0</v>
      </c>
      <c r="J10" s="21" t="s">
        <v>17</v>
      </c>
      <c r="K10" s="9" t="s">
        <v>18</v>
      </c>
      <c r="L10" s="8"/>
    </row>
    <row r="11" s="2" customFormat="1" ht="25" customHeight="1" spans="1:12">
      <c r="A11" s="8">
        <v>8</v>
      </c>
      <c r="B11" s="8" t="s">
        <v>52</v>
      </c>
      <c r="C11" s="8" t="s">
        <v>51</v>
      </c>
      <c r="D11" s="8" t="str">
        <f>"吴苗园"</f>
        <v>吴苗园</v>
      </c>
      <c r="E11" s="8">
        <v>0</v>
      </c>
      <c r="F11" s="9">
        <v>0</v>
      </c>
      <c r="G11" s="8">
        <v>0</v>
      </c>
      <c r="H11" s="9">
        <v>0</v>
      </c>
      <c r="I11" s="8">
        <v>0</v>
      </c>
      <c r="J11" s="21" t="s">
        <v>17</v>
      </c>
      <c r="K11" s="9" t="s">
        <v>18</v>
      </c>
      <c r="L11" s="8"/>
    </row>
    <row r="12" s="2" customFormat="1" ht="25" customHeight="1" spans="1:12">
      <c r="A12" s="8">
        <v>9</v>
      </c>
      <c r="B12" s="8" t="s">
        <v>52</v>
      </c>
      <c r="C12" s="8" t="s">
        <v>51</v>
      </c>
      <c r="D12" s="8" t="str">
        <f>"黄彦颖"</f>
        <v>黄彦颖</v>
      </c>
      <c r="E12" s="8">
        <v>0</v>
      </c>
      <c r="F12" s="9">
        <v>0</v>
      </c>
      <c r="G12" s="8">
        <v>0</v>
      </c>
      <c r="H12" s="9">
        <v>0</v>
      </c>
      <c r="I12" s="8">
        <v>0</v>
      </c>
      <c r="J12" s="21" t="s">
        <v>17</v>
      </c>
      <c r="K12" s="9" t="s">
        <v>18</v>
      </c>
      <c r="L12" s="8"/>
    </row>
    <row r="13" s="2" customFormat="1" ht="25" customHeight="1" spans="1:12">
      <c r="A13" s="8">
        <v>10</v>
      </c>
      <c r="B13" s="8" t="s">
        <v>52</v>
      </c>
      <c r="C13" s="8" t="s">
        <v>51</v>
      </c>
      <c r="D13" s="8" t="str">
        <f>"王艺澄"</f>
        <v>王艺澄</v>
      </c>
      <c r="E13" s="8">
        <v>0</v>
      </c>
      <c r="F13" s="9">
        <v>0</v>
      </c>
      <c r="G13" s="8">
        <v>0</v>
      </c>
      <c r="H13" s="9">
        <v>0</v>
      </c>
      <c r="I13" s="8">
        <v>0</v>
      </c>
      <c r="J13" s="21" t="s">
        <v>17</v>
      </c>
      <c r="K13" s="9" t="s">
        <v>18</v>
      </c>
      <c r="L13" s="8"/>
    </row>
    <row r="14" s="2" customFormat="1" ht="25" customHeight="1" spans="1:12">
      <c r="A14" s="8">
        <v>11</v>
      </c>
      <c r="B14" s="8" t="s">
        <v>52</v>
      </c>
      <c r="C14" s="8" t="s">
        <v>51</v>
      </c>
      <c r="D14" s="8" t="str">
        <f>"符华艳"</f>
        <v>符华艳</v>
      </c>
      <c r="E14" s="8">
        <v>0</v>
      </c>
      <c r="F14" s="9">
        <v>0</v>
      </c>
      <c r="G14" s="8">
        <v>0</v>
      </c>
      <c r="H14" s="9">
        <v>0</v>
      </c>
      <c r="I14" s="8">
        <v>0</v>
      </c>
      <c r="J14" s="21" t="s">
        <v>17</v>
      </c>
      <c r="K14" s="9" t="s">
        <v>18</v>
      </c>
      <c r="L14" s="8"/>
    </row>
    <row r="15" s="2" customFormat="1" ht="25" customHeight="1" spans="1:12">
      <c r="A15" s="8">
        <v>12</v>
      </c>
      <c r="B15" s="8" t="s">
        <v>52</v>
      </c>
      <c r="C15" s="8" t="s">
        <v>51</v>
      </c>
      <c r="D15" s="8" t="str">
        <f>"胡亚谊"</f>
        <v>胡亚谊</v>
      </c>
      <c r="E15" s="8">
        <v>0</v>
      </c>
      <c r="F15" s="9">
        <v>0</v>
      </c>
      <c r="G15" s="8">
        <v>0</v>
      </c>
      <c r="H15" s="9">
        <v>0</v>
      </c>
      <c r="I15" s="8">
        <v>0</v>
      </c>
      <c r="J15" s="21" t="s">
        <v>17</v>
      </c>
      <c r="K15" s="9" t="s">
        <v>18</v>
      </c>
      <c r="L15" s="8"/>
    </row>
  </sheetData>
  <sheetProtection password="9F33" sheet="1" objects="1"/>
  <sortState ref="D3:E14">
    <sortCondition ref="E3:E14" descending="1"/>
  </sortState>
  <mergeCells count="10">
    <mergeCell ref="A1:L1"/>
    <mergeCell ref="E2:H2"/>
    <mergeCell ref="A2:A3"/>
    <mergeCell ref="B2:B3"/>
    <mergeCell ref="C2:C3"/>
    <mergeCell ref="D2:D3"/>
    <mergeCell ref="I2:I3"/>
    <mergeCell ref="J2:J3"/>
    <mergeCell ref="K2:K3"/>
    <mergeCell ref="L2:L3"/>
  </mergeCells>
  <pageMargins left="0.700694444444445" right="0.700694444444445" top="0.751388888888889" bottom="0.751388888888889" header="0.297916666666667" footer="0.297916666666667"/>
  <pageSetup paperSize="9" orientation="portrait"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56"/>
  <sheetViews>
    <sheetView topLeftCell="A46" workbookViewId="0">
      <selection activeCell="M15" sqref="M15"/>
    </sheetView>
  </sheetViews>
  <sheetFormatPr defaultColWidth="8.70833333333333" defaultRowHeight="13.5"/>
  <cols>
    <col min="1" max="1" width="5.625" customWidth="1"/>
    <col min="2" max="2" width="18.25" customWidth="1"/>
    <col min="3" max="3" width="20.375" customWidth="1"/>
    <col min="4" max="4" width="8.375" customWidth="1"/>
    <col min="5" max="10" width="16.625" customWidth="1"/>
  </cols>
  <sheetData>
    <row r="1" s="1" customFormat="1" ht="85" customHeight="1" spans="1:14">
      <c r="A1" s="5" t="s">
        <v>0</v>
      </c>
      <c r="B1" s="5"/>
      <c r="C1" s="5"/>
      <c r="D1" s="5"/>
      <c r="E1" s="5"/>
      <c r="F1" s="5"/>
      <c r="G1" s="5"/>
      <c r="H1" s="5"/>
      <c r="I1" s="5"/>
      <c r="J1" s="5"/>
      <c r="K1" s="5"/>
      <c r="L1" s="5"/>
      <c r="M1" s="5"/>
      <c r="N1" s="5"/>
    </row>
    <row r="2" s="2" customFormat="1" ht="28" customHeight="1" spans="1:14">
      <c r="A2" s="6" t="s">
        <v>1</v>
      </c>
      <c r="B2" s="6" t="s">
        <v>2</v>
      </c>
      <c r="C2" s="6" t="s">
        <v>3</v>
      </c>
      <c r="D2" s="6" t="s">
        <v>4</v>
      </c>
      <c r="E2" s="6" t="s">
        <v>5</v>
      </c>
      <c r="F2" s="6"/>
      <c r="G2" s="6"/>
      <c r="H2" s="6"/>
      <c r="I2" s="6"/>
      <c r="J2" s="6"/>
      <c r="K2" s="7" t="s">
        <v>20</v>
      </c>
      <c r="L2" s="7" t="s">
        <v>7</v>
      </c>
      <c r="M2" s="7" t="s">
        <v>8</v>
      </c>
      <c r="N2" s="6" t="s">
        <v>9</v>
      </c>
    </row>
    <row r="3" s="3" customFormat="1" ht="145" customHeight="1" spans="1:14">
      <c r="A3" s="6"/>
      <c r="B3" s="6"/>
      <c r="C3" s="6"/>
      <c r="D3" s="6"/>
      <c r="E3" s="7" t="s">
        <v>10</v>
      </c>
      <c r="F3" s="7" t="s">
        <v>47</v>
      </c>
      <c r="G3" s="7" t="s">
        <v>54</v>
      </c>
      <c r="H3" s="7" t="s">
        <v>55</v>
      </c>
      <c r="I3" s="7" t="s">
        <v>56</v>
      </c>
      <c r="J3" s="7" t="s">
        <v>33</v>
      </c>
      <c r="K3" s="7"/>
      <c r="L3" s="7"/>
      <c r="M3" s="7"/>
      <c r="N3" s="6"/>
    </row>
    <row r="4" s="2" customFormat="1" ht="28" customHeight="1" spans="1:14">
      <c r="A4" s="8">
        <v>1</v>
      </c>
      <c r="B4" s="8" t="s">
        <v>57</v>
      </c>
      <c r="C4" s="8" t="s">
        <v>58</v>
      </c>
      <c r="D4" s="14" t="str">
        <f>"陈洁祥"</f>
        <v>陈洁祥</v>
      </c>
      <c r="E4" s="8">
        <v>0</v>
      </c>
      <c r="F4" s="9">
        <v>3</v>
      </c>
      <c r="G4" s="9">
        <v>0</v>
      </c>
      <c r="H4" s="9">
        <v>3</v>
      </c>
      <c r="I4" s="9">
        <v>0</v>
      </c>
      <c r="J4" s="9">
        <v>0</v>
      </c>
      <c r="K4" s="9">
        <v>6</v>
      </c>
      <c r="L4" s="9" t="s">
        <v>17</v>
      </c>
      <c r="M4" s="9" t="s">
        <v>18</v>
      </c>
      <c r="N4" s="8"/>
    </row>
    <row r="5" s="1" customFormat="1" ht="28" customHeight="1" spans="1:14">
      <c r="A5" s="8">
        <v>2</v>
      </c>
      <c r="B5" s="8" t="s">
        <v>57</v>
      </c>
      <c r="C5" s="8" t="s">
        <v>58</v>
      </c>
      <c r="D5" s="8" t="str">
        <f>"冯推秀"</f>
        <v>冯推秀</v>
      </c>
      <c r="E5" s="8">
        <v>1</v>
      </c>
      <c r="F5" s="8">
        <v>0</v>
      </c>
      <c r="G5" s="9">
        <v>0</v>
      </c>
      <c r="H5" s="8">
        <v>3.5</v>
      </c>
      <c r="I5" s="9">
        <v>0</v>
      </c>
      <c r="J5" s="9">
        <v>0</v>
      </c>
      <c r="K5" s="8">
        <v>4.5</v>
      </c>
      <c r="L5" s="9" t="s">
        <v>17</v>
      </c>
      <c r="M5" s="9" t="s">
        <v>18</v>
      </c>
      <c r="N5" s="8"/>
    </row>
    <row r="6" s="1" customFormat="1" ht="28" customHeight="1" spans="1:14">
      <c r="A6" s="8">
        <v>3</v>
      </c>
      <c r="B6" s="8" t="s">
        <v>57</v>
      </c>
      <c r="C6" s="8" t="s">
        <v>58</v>
      </c>
      <c r="D6" s="8" t="str">
        <f>"黄杰"</f>
        <v>黄杰</v>
      </c>
      <c r="E6" s="8">
        <v>1</v>
      </c>
      <c r="F6" s="8">
        <v>3</v>
      </c>
      <c r="G6" s="9">
        <v>0</v>
      </c>
      <c r="H6" s="8">
        <v>0</v>
      </c>
      <c r="I6" s="9">
        <v>0</v>
      </c>
      <c r="J6" s="9">
        <v>0</v>
      </c>
      <c r="K6" s="8">
        <v>4</v>
      </c>
      <c r="L6" s="9" t="s">
        <v>17</v>
      </c>
      <c r="M6" s="9" t="s">
        <v>18</v>
      </c>
      <c r="N6" s="8"/>
    </row>
    <row r="7" s="1" customFormat="1" ht="28" customHeight="1" spans="1:14">
      <c r="A7" s="8">
        <v>4</v>
      </c>
      <c r="B7" s="8" t="s">
        <v>57</v>
      </c>
      <c r="C7" s="8" t="s">
        <v>58</v>
      </c>
      <c r="D7" s="8" t="str">
        <f>"陈梓锋"</f>
        <v>陈梓锋</v>
      </c>
      <c r="E7" s="8">
        <v>0</v>
      </c>
      <c r="F7" s="8">
        <v>0</v>
      </c>
      <c r="G7" s="9">
        <v>0</v>
      </c>
      <c r="H7" s="8">
        <v>3</v>
      </c>
      <c r="I7" s="9">
        <v>0</v>
      </c>
      <c r="J7" s="9">
        <v>0</v>
      </c>
      <c r="K7" s="8">
        <v>3</v>
      </c>
      <c r="L7" s="9" t="s">
        <v>17</v>
      </c>
      <c r="M7" s="9" t="s">
        <v>18</v>
      </c>
      <c r="N7" s="8"/>
    </row>
    <row r="8" s="1" customFormat="1" ht="28" customHeight="1" spans="1:14">
      <c r="A8" s="8">
        <v>5</v>
      </c>
      <c r="B8" s="8" t="s">
        <v>57</v>
      </c>
      <c r="C8" s="8" t="s">
        <v>58</v>
      </c>
      <c r="D8" s="8" t="str">
        <f>"王淑然"</f>
        <v>王淑然</v>
      </c>
      <c r="E8" s="8">
        <v>3</v>
      </c>
      <c r="F8" s="8">
        <v>0</v>
      </c>
      <c r="G8" s="9">
        <v>0</v>
      </c>
      <c r="H8" s="8">
        <v>0</v>
      </c>
      <c r="I8" s="9">
        <v>0</v>
      </c>
      <c r="J8" s="9">
        <v>0</v>
      </c>
      <c r="K8" s="8">
        <v>3</v>
      </c>
      <c r="L8" s="9" t="s">
        <v>17</v>
      </c>
      <c r="M8" s="9" t="s">
        <v>18</v>
      </c>
      <c r="N8" s="8"/>
    </row>
    <row r="9" s="1" customFormat="1" ht="28" customHeight="1" spans="1:14">
      <c r="A9" s="8">
        <v>6</v>
      </c>
      <c r="B9" s="8" t="s">
        <v>57</v>
      </c>
      <c r="C9" s="8" t="s">
        <v>58</v>
      </c>
      <c r="D9" s="8" t="str">
        <f>"黄恺迪"</f>
        <v>黄恺迪</v>
      </c>
      <c r="E9" s="8">
        <v>0</v>
      </c>
      <c r="F9" s="8">
        <v>0</v>
      </c>
      <c r="G9" s="9">
        <v>0</v>
      </c>
      <c r="H9" s="8">
        <v>2</v>
      </c>
      <c r="I9" s="9">
        <v>0</v>
      </c>
      <c r="J9" s="9">
        <v>0</v>
      </c>
      <c r="K9" s="8">
        <v>2</v>
      </c>
      <c r="L9" s="9" t="s">
        <v>17</v>
      </c>
      <c r="M9" s="9" t="s">
        <v>18</v>
      </c>
      <c r="N9" s="8"/>
    </row>
    <row r="10" s="1" customFormat="1" ht="28" customHeight="1" spans="1:14">
      <c r="A10" s="8">
        <v>7</v>
      </c>
      <c r="B10" s="8" t="s">
        <v>57</v>
      </c>
      <c r="C10" s="8" t="s">
        <v>58</v>
      </c>
      <c r="D10" s="8" t="str">
        <f>"叶高斌"</f>
        <v>叶高斌</v>
      </c>
      <c r="E10" s="8">
        <v>1</v>
      </c>
      <c r="F10" s="8">
        <v>0</v>
      </c>
      <c r="G10" s="9">
        <v>0</v>
      </c>
      <c r="H10" s="8">
        <v>0.5</v>
      </c>
      <c r="I10" s="9">
        <v>0</v>
      </c>
      <c r="J10" s="9">
        <v>0</v>
      </c>
      <c r="K10" s="8">
        <v>1.5</v>
      </c>
      <c r="L10" s="9" t="s">
        <v>17</v>
      </c>
      <c r="M10" s="9" t="s">
        <v>18</v>
      </c>
      <c r="N10" s="8"/>
    </row>
    <row r="11" s="1" customFormat="1" ht="28" customHeight="1" spans="1:14">
      <c r="A11" s="8">
        <v>8</v>
      </c>
      <c r="B11" s="8" t="s">
        <v>57</v>
      </c>
      <c r="C11" s="8" t="s">
        <v>58</v>
      </c>
      <c r="D11" s="8" t="str">
        <f>"黄天媛"</f>
        <v>黄天媛</v>
      </c>
      <c r="E11" s="8">
        <v>1</v>
      </c>
      <c r="F11" s="8">
        <v>0</v>
      </c>
      <c r="G11" s="9">
        <v>0</v>
      </c>
      <c r="H11" s="8">
        <v>0</v>
      </c>
      <c r="I11" s="9">
        <v>0</v>
      </c>
      <c r="J11" s="9">
        <v>0</v>
      </c>
      <c r="K11" s="8">
        <v>1</v>
      </c>
      <c r="L11" s="9" t="s">
        <v>17</v>
      </c>
      <c r="M11" s="9" t="s">
        <v>18</v>
      </c>
      <c r="N11" s="8"/>
    </row>
    <row r="12" s="1" customFormat="1" ht="28" customHeight="1" spans="1:14">
      <c r="A12" s="8">
        <v>9</v>
      </c>
      <c r="B12" s="8" t="s">
        <v>57</v>
      </c>
      <c r="C12" s="8" t="s">
        <v>58</v>
      </c>
      <c r="D12" s="8" t="str">
        <f>"蔡南虎"</f>
        <v>蔡南虎</v>
      </c>
      <c r="E12" s="8">
        <v>0</v>
      </c>
      <c r="F12" s="8">
        <v>0</v>
      </c>
      <c r="G12" s="9">
        <v>0</v>
      </c>
      <c r="H12" s="8">
        <v>1</v>
      </c>
      <c r="I12" s="9">
        <v>0</v>
      </c>
      <c r="J12" s="9">
        <v>0</v>
      </c>
      <c r="K12" s="8">
        <v>1</v>
      </c>
      <c r="L12" s="9" t="s">
        <v>17</v>
      </c>
      <c r="M12" s="9" t="s">
        <v>18</v>
      </c>
      <c r="N12" s="8"/>
    </row>
    <row r="13" s="1" customFormat="1" ht="28" customHeight="1" spans="1:14">
      <c r="A13" s="8">
        <v>10</v>
      </c>
      <c r="B13" s="8" t="s">
        <v>57</v>
      </c>
      <c r="C13" s="8" t="s">
        <v>58</v>
      </c>
      <c r="D13" s="8" t="str">
        <f>"王冰冰"</f>
        <v>王冰冰</v>
      </c>
      <c r="E13" s="8">
        <v>1</v>
      </c>
      <c r="F13" s="8">
        <v>0</v>
      </c>
      <c r="G13" s="9">
        <v>0</v>
      </c>
      <c r="H13" s="8">
        <v>0</v>
      </c>
      <c r="I13" s="9">
        <v>0</v>
      </c>
      <c r="J13" s="9">
        <v>0</v>
      </c>
      <c r="K13" s="8">
        <v>1</v>
      </c>
      <c r="L13" s="9" t="s">
        <v>17</v>
      </c>
      <c r="M13" s="9" t="s">
        <v>18</v>
      </c>
      <c r="N13" s="8"/>
    </row>
    <row r="14" s="1" customFormat="1" ht="28" customHeight="1" spans="1:14">
      <c r="A14" s="8">
        <v>11</v>
      </c>
      <c r="B14" s="8" t="s">
        <v>57</v>
      </c>
      <c r="C14" s="8" t="s">
        <v>58</v>
      </c>
      <c r="D14" s="8" t="str">
        <f>"陈丽虹"</f>
        <v>陈丽虹</v>
      </c>
      <c r="E14" s="8">
        <v>1</v>
      </c>
      <c r="F14" s="8">
        <v>0</v>
      </c>
      <c r="G14" s="9">
        <v>0</v>
      </c>
      <c r="H14" s="8">
        <v>0</v>
      </c>
      <c r="I14" s="9">
        <v>0</v>
      </c>
      <c r="J14" s="9">
        <v>0</v>
      </c>
      <c r="K14" s="8">
        <v>1</v>
      </c>
      <c r="L14" s="9" t="s">
        <v>17</v>
      </c>
      <c r="M14" s="9" t="s">
        <v>18</v>
      </c>
      <c r="N14" s="8"/>
    </row>
    <row r="15" s="1" customFormat="1" ht="28" customHeight="1" spans="1:14">
      <c r="A15" s="8">
        <v>12</v>
      </c>
      <c r="B15" s="8" t="s">
        <v>57</v>
      </c>
      <c r="C15" s="8" t="s">
        <v>58</v>
      </c>
      <c r="D15" s="8" t="str">
        <f>"钟教颖"</f>
        <v>钟教颖</v>
      </c>
      <c r="E15" s="8">
        <v>0</v>
      </c>
      <c r="F15" s="8">
        <v>0</v>
      </c>
      <c r="G15" s="9">
        <v>0</v>
      </c>
      <c r="H15" s="8">
        <v>0.5</v>
      </c>
      <c r="I15" s="9">
        <v>0</v>
      </c>
      <c r="J15" s="9">
        <v>0</v>
      </c>
      <c r="K15" s="8">
        <v>0.5</v>
      </c>
      <c r="L15" s="9" t="s">
        <v>17</v>
      </c>
      <c r="M15" s="9" t="s">
        <v>18</v>
      </c>
      <c r="N15" s="8"/>
    </row>
    <row r="16" s="1" customFormat="1" ht="28" customHeight="1" spans="1:14">
      <c r="A16" s="8">
        <v>13</v>
      </c>
      <c r="B16" s="8" t="s">
        <v>57</v>
      </c>
      <c r="C16" s="8" t="s">
        <v>58</v>
      </c>
      <c r="D16" s="8" t="str">
        <f>"陈笔愉"</f>
        <v>陈笔愉</v>
      </c>
      <c r="E16" s="8">
        <v>0</v>
      </c>
      <c r="F16" s="8">
        <v>0</v>
      </c>
      <c r="G16" s="9">
        <v>0</v>
      </c>
      <c r="H16" s="8">
        <v>0</v>
      </c>
      <c r="I16" s="9">
        <v>0</v>
      </c>
      <c r="J16" s="9">
        <v>0</v>
      </c>
      <c r="K16" s="8">
        <v>0</v>
      </c>
      <c r="L16" s="9" t="s">
        <v>17</v>
      </c>
      <c r="M16" s="8" t="s">
        <v>19</v>
      </c>
      <c r="N16" s="8"/>
    </row>
    <row r="17" s="1" customFormat="1" ht="28" customHeight="1" spans="1:14">
      <c r="A17" s="8">
        <v>14</v>
      </c>
      <c r="B17" s="8" t="s">
        <v>57</v>
      </c>
      <c r="C17" s="8" t="s">
        <v>58</v>
      </c>
      <c r="D17" s="8" t="str">
        <f>"彭泽亮"</f>
        <v>彭泽亮</v>
      </c>
      <c r="E17" s="8">
        <v>0</v>
      </c>
      <c r="F17" s="8">
        <v>0</v>
      </c>
      <c r="G17" s="9">
        <v>0</v>
      </c>
      <c r="H17" s="8">
        <v>0</v>
      </c>
      <c r="I17" s="9">
        <v>0</v>
      </c>
      <c r="J17" s="9">
        <v>0</v>
      </c>
      <c r="K17" s="8">
        <v>0</v>
      </c>
      <c r="L17" s="9" t="s">
        <v>17</v>
      </c>
      <c r="M17" s="8" t="s">
        <v>19</v>
      </c>
      <c r="N17" s="8"/>
    </row>
    <row r="18" s="1" customFormat="1" ht="28" customHeight="1" spans="1:14">
      <c r="A18" s="8">
        <v>15</v>
      </c>
      <c r="B18" s="8" t="s">
        <v>57</v>
      </c>
      <c r="C18" s="8" t="s">
        <v>58</v>
      </c>
      <c r="D18" s="8" t="str">
        <f>"袁涛"</f>
        <v>袁涛</v>
      </c>
      <c r="E18" s="8">
        <v>0</v>
      </c>
      <c r="F18" s="8">
        <v>0</v>
      </c>
      <c r="G18" s="9">
        <v>0</v>
      </c>
      <c r="H18" s="8">
        <v>0</v>
      </c>
      <c r="I18" s="9">
        <v>0</v>
      </c>
      <c r="J18" s="9">
        <v>0</v>
      </c>
      <c r="K18" s="8">
        <v>0</v>
      </c>
      <c r="L18" s="9" t="s">
        <v>17</v>
      </c>
      <c r="M18" s="8" t="s">
        <v>19</v>
      </c>
      <c r="N18" s="8"/>
    </row>
    <row r="19" s="1" customFormat="1" ht="28" customHeight="1" spans="1:14">
      <c r="A19" s="8">
        <v>16</v>
      </c>
      <c r="B19" s="8" t="s">
        <v>57</v>
      </c>
      <c r="C19" s="8" t="s">
        <v>58</v>
      </c>
      <c r="D19" s="8" t="str">
        <f>"金秋莉"</f>
        <v>金秋莉</v>
      </c>
      <c r="E19" s="8">
        <v>0</v>
      </c>
      <c r="F19" s="8">
        <v>0</v>
      </c>
      <c r="G19" s="9">
        <v>0</v>
      </c>
      <c r="H19" s="8">
        <v>0</v>
      </c>
      <c r="I19" s="9">
        <v>0</v>
      </c>
      <c r="J19" s="9">
        <v>0</v>
      </c>
      <c r="K19" s="8">
        <v>0</v>
      </c>
      <c r="L19" s="9" t="s">
        <v>17</v>
      </c>
      <c r="M19" s="8" t="s">
        <v>19</v>
      </c>
      <c r="N19" s="8"/>
    </row>
    <row r="20" s="1" customFormat="1" ht="28" customHeight="1" spans="1:14">
      <c r="A20" s="8">
        <v>17</v>
      </c>
      <c r="B20" s="8" t="s">
        <v>57</v>
      </c>
      <c r="C20" s="8" t="s">
        <v>58</v>
      </c>
      <c r="D20" s="8" t="str">
        <f>"黄福凯"</f>
        <v>黄福凯</v>
      </c>
      <c r="E20" s="8">
        <v>0</v>
      </c>
      <c r="F20" s="8">
        <v>0</v>
      </c>
      <c r="G20" s="9">
        <v>0</v>
      </c>
      <c r="H20" s="8">
        <v>0</v>
      </c>
      <c r="I20" s="9">
        <v>0</v>
      </c>
      <c r="J20" s="9">
        <v>0</v>
      </c>
      <c r="K20" s="8">
        <v>0</v>
      </c>
      <c r="L20" s="9" t="s">
        <v>17</v>
      </c>
      <c r="M20" s="8" t="s">
        <v>19</v>
      </c>
      <c r="N20" s="8"/>
    </row>
    <row r="21" s="1" customFormat="1" ht="28" customHeight="1" spans="1:14">
      <c r="A21" s="8">
        <v>18</v>
      </c>
      <c r="B21" s="8" t="s">
        <v>57</v>
      </c>
      <c r="C21" s="8" t="s">
        <v>58</v>
      </c>
      <c r="D21" s="8" t="str">
        <f>"李正娴"</f>
        <v>李正娴</v>
      </c>
      <c r="E21" s="8">
        <v>0</v>
      </c>
      <c r="F21" s="8">
        <v>0</v>
      </c>
      <c r="G21" s="9">
        <v>0</v>
      </c>
      <c r="H21" s="8">
        <v>0</v>
      </c>
      <c r="I21" s="9">
        <v>0</v>
      </c>
      <c r="J21" s="9">
        <v>0</v>
      </c>
      <c r="K21" s="8">
        <v>0</v>
      </c>
      <c r="L21" s="9" t="s">
        <v>17</v>
      </c>
      <c r="M21" s="8" t="s">
        <v>19</v>
      </c>
      <c r="N21" s="8"/>
    </row>
    <row r="22" s="1" customFormat="1" ht="28" customHeight="1" spans="1:14">
      <c r="A22" s="8">
        <v>19</v>
      </c>
      <c r="B22" s="8" t="s">
        <v>57</v>
      </c>
      <c r="C22" s="8" t="s">
        <v>58</v>
      </c>
      <c r="D22" s="8" t="str">
        <f>"王淑莺"</f>
        <v>王淑莺</v>
      </c>
      <c r="E22" s="8">
        <v>0</v>
      </c>
      <c r="F22" s="8">
        <v>0</v>
      </c>
      <c r="G22" s="9">
        <v>0</v>
      </c>
      <c r="H22" s="8">
        <v>0</v>
      </c>
      <c r="I22" s="9">
        <v>0</v>
      </c>
      <c r="J22" s="9">
        <v>0</v>
      </c>
      <c r="K22" s="8">
        <v>0</v>
      </c>
      <c r="L22" s="9" t="s">
        <v>17</v>
      </c>
      <c r="M22" s="8" t="s">
        <v>19</v>
      </c>
      <c r="N22" s="8"/>
    </row>
    <row r="23" s="1" customFormat="1" ht="28" customHeight="1" spans="1:14">
      <c r="A23" s="8">
        <v>20</v>
      </c>
      <c r="B23" s="8" t="s">
        <v>57</v>
      </c>
      <c r="C23" s="8" t="s">
        <v>58</v>
      </c>
      <c r="D23" s="8" t="str">
        <f>"曾艾莹"</f>
        <v>曾艾莹</v>
      </c>
      <c r="E23" s="8">
        <v>0</v>
      </c>
      <c r="F23" s="8">
        <v>0</v>
      </c>
      <c r="G23" s="9">
        <v>0</v>
      </c>
      <c r="H23" s="8">
        <v>0</v>
      </c>
      <c r="I23" s="9">
        <v>0</v>
      </c>
      <c r="J23" s="9">
        <v>0</v>
      </c>
      <c r="K23" s="8">
        <v>0</v>
      </c>
      <c r="L23" s="9" t="s">
        <v>17</v>
      </c>
      <c r="M23" s="8" t="s">
        <v>19</v>
      </c>
      <c r="N23" s="8"/>
    </row>
    <row r="24" s="1" customFormat="1" ht="28" customHeight="1" spans="1:14">
      <c r="A24" s="8">
        <v>21</v>
      </c>
      <c r="B24" s="8" t="s">
        <v>57</v>
      </c>
      <c r="C24" s="8" t="s">
        <v>58</v>
      </c>
      <c r="D24" s="8" t="str">
        <f>"林斯皇"</f>
        <v>林斯皇</v>
      </c>
      <c r="E24" s="8">
        <v>0</v>
      </c>
      <c r="F24" s="8">
        <v>0</v>
      </c>
      <c r="G24" s="9">
        <v>0</v>
      </c>
      <c r="H24" s="8">
        <v>0</v>
      </c>
      <c r="I24" s="9">
        <v>0</v>
      </c>
      <c r="J24" s="9">
        <v>0</v>
      </c>
      <c r="K24" s="8">
        <v>0</v>
      </c>
      <c r="L24" s="9" t="s">
        <v>17</v>
      </c>
      <c r="M24" s="8" t="s">
        <v>19</v>
      </c>
      <c r="N24" s="8"/>
    </row>
    <row r="25" s="1" customFormat="1" ht="28" customHeight="1" spans="1:14">
      <c r="A25" s="8">
        <v>22</v>
      </c>
      <c r="B25" s="8" t="s">
        <v>57</v>
      </c>
      <c r="C25" s="8" t="s">
        <v>58</v>
      </c>
      <c r="D25" s="8" t="str">
        <f>"刘丽萍"</f>
        <v>刘丽萍</v>
      </c>
      <c r="E25" s="8">
        <v>0</v>
      </c>
      <c r="F25" s="8">
        <v>0</v>
      </c>
      <c r="G25" s="9">
        <v>0</v>
      </c>
      <c r="H25" s="8">
        <v>0</v>
      </c>
      <c r="I25" s="9">
        <v>0</v>
      </c>
      <c r="J25" s="9">
        <v>0</v>
      </c>
      <c r="K25" s="8">
        <v>0</v>
      </c>
      <c r="L25" s="9" t="s">
        <v>17</v>
      </c>
      <c r="M25" s="8" t="s">
        <v>19</v>
      </c>
      <c r="N25" s="8"/>
    </row>
    <row r="26" s="1" customFormat="1" ht="28" customHeight="1" spans="1:14">
      <c r="A26" s="8">
        <v>23</v>
      </c>
      <c r="B26" s="8" t="s">
        <v>57</v>
      </c>
      <c r="C26" s="8" t="s">
        <v>58</v>
      </c>
      <c r="D26" s="8" t="str">
        <f>"陈泽鸿"</f>
        <v>陈泽鸿</v>
      </c>
      <c r="E26" s="8">
        <v>0</v>
      </c>
      <c r="F26" s="8">
        <v>0</v>
      </c>
      <c r="G26" s="9">
        <v>0</v>
      </c>
      <c r="H26" s="8">
        <v>0</v>
      </c>
      <c r="I26" s="9">
        <v>0</v>
      </c>
      <c r="J26" s="9">
        <v>0</v>
      </c>
      <c r="K26" s="8">
        <v>0</v>
      </c>
      <c r="L26" s="9" t="s">
        <v>17</v>
      </c>
      <c r="M26" s="8" t="s">
        <v>19</v>
      </c>
      <c r="N26" s="8"/>
    </row>
    <row r="27" s="1" customFormat="1" ht="28" customHeight="1" spans="1:14">
      <c r="A27" s="8">
        <v>24</v>
      </c>
      <c r="B27" s="8" t="s">
        <v>57</v>
      </c>
      <c r="C27" s="8" t="s">
        <v>58</v>
      </c>
      <c r="D27" s="8" t="str">
        <f>"吴莹"</f>
        <v>吴莹</v>
      </c>
      <c r="E27" s="8">
        <v>0</v>
      </c>
      <c r="F27" s="8">
        <v>0</v>
      </c>
      <c r="G27" s="9">
        <v>0</v>
      </c>
      <c r="H27" s="8">
        <v>0</v>
      </c>
      <c r="I27" s="9">
        <v>0</v>
      </c>
      <c r="J27" s="9">
        <v>0</v>
      </c>
      <c r="K27" s="8">
        <v>0</v>
      </c>
      <c r="L27" s="9" t="s">
        <v>17</v>
      </c>
      <c r="M27" s="8" t="s">
        <v>19</v>
      </c>
      <c r="N27" s="8"/>
    </row>
    <row r="28" s="1" customFormat="1" ht="28" customHeight="1" spans="1:14">
      <c r="A28" s="8">
        <v>25</v>
      </c>
      <c r="B28" s="8" t="s">
        <v>57</v>
      </c>
      <c r="C28" s="8" t="s">
        <v>58</v>
      </c>
      <c r="D28" s="8" t="str">
        <f>"孙梦霞"</f>
        <v>孙梦霞</v>
      </c>
      <c r="E28" s="8">
        <v>0</v>
      </c>
      <c r="F28" s="8">
        <v>0</v>
      </c>
      <c r="G28" s="9">
        <v>0</v>
      </c>
      <c r="H28" s="8">
        <v>0</v>
      </c>
      <c r="I28" s="9">
        <v>0</v>
      </c>
      <c r="J28" s="9">
        <v>0</v>
      </c>
      <c r="K28" s="8">
        <v>0</v>
      </c>
      <c r="L28" s="9" t="s">
        <v>17</v>
      </c>
      <c r="M28" s="8" t="s">
        <v>19</v>
      </c>
      <c r="N28" s="8"/>
    </row>
    <row r="29" s="1" customFormat="1" ht="28" customHeight="1" spans="1:14">
      <c r="A29" s="8">
        <v>26</v>
      </c>
      <c r="B29" s="8" t="s">
        <v>57</v>
      </c>
      <c r="C29" s="8" t="s">
        <v>58</v>
      </c>
      <c r="D29" s="8" t="str">
        <f>"王玉欢"</f>
        <v>王玉欢</v>
      </c>
      <c r="E29" s="8">
        <v>0</v>
      </c>
      <c r="F29" s="8">
        <v>0</v>
      </c>
      <c r="G29" s="9">
        <v>0</v>
      </c>
      <c r="H29" s="8">
        <v>0</v>
      </c>
      <c r="I29" s="9">
        <v>0</v>
      </c>
      <c r="J29" s="9">
        <v>0</v>
      </c>
      <c r="K29" s="8">
        <v>0</v>
      </c>
      <c r="L29" s="9" t="s">
        <v>17</v>
      </c>
      <c r="M29" s="8" t="s">
        <v>19</v>
      </c>
      <c r="N29" s="8"/>
    </row>
    <row r="30" s="1" customFormat="1" ht="28" customHeight="1" spans="1:14">
      <c r="A30" s="8">
        <v>27</v>
      </c>
      <c r="B30" s="8" t="s">
        <v>57</v>
      </c>
      <c r="C30" s="8" t="s">
        <v>58</v>
      </c>
      <c r="D30" s="8" t="str">
        <f>"范平珑"</f>
        <v>范平珑</v>
      </c>
      <c r="E30" s="8">
        <v>0</v>
      </c>
      <c r="F30" s="8">
        <v>0</v>
      </c>
      <c r="G30" s="9">
        <v>0</v>
      </c>
      <c r="H30" s="8">
        <v>0</v>
      </c>
      <c r="I30" s="9">
        <v>0</v>
      </c>
      <c r="J30" s="9">
        <v>0</v>
      </c>
      <c r="K30" s="8">
        <v>0</v>
      </c>
      <c r="L30" s="9" t="s">
        <v>17</v>
      </c>
      <c r="M30" s="8" t="s">
        <v>19</v>
      </c>
      <c r="N30" s="8"/>
    </row>
    <row r="31" s="1" customFormat="1" ht="28" customHeight="1" spans="1:14">
      <c r="A31" s="8">
        <v>28</v>
      </c>
      <c r="B31" s="8" t="s">
        <v>57</v>
      </c>
      <c r="C31" s="8" t="s">
        <v>58</v>
      </c>
      <c r="D31" s="8" t="str">
        <f>"王海运"</f>
        <v>王海运</v>
      </c>
      <c r="E31" s="8">
        <v>0</v>
      </c>
      <c r="F31" s="8">
        <v>0</v>
      </c>
      <c r="G31" s="9">
        <v>0</v>
      </c>
      <c r="H31" s="8">
        <v>0</v>
      </c>
      <c r="I31" s="9">
        <v>0</v>
      </c>
      <c r="J31" s="9">
        <v>0</v>
      </c>
      <c r="K31" s="8">
        <v>0</v>
      </c>
      <c r="L31" s="9" t="s">
        <v>17</v>
      </c>
      <c r="M31" s="8" t="s">
        <v>19</v>
      </c>
      <c r="N31" s="8"/>
    </row>
    <row r="32" s="1" customFormat="1" ht="28" customHeight="1" spans="1:14">
      <c r="A32" s="8">
        <v>29</v>
      </c>
      <c r="B32" s="8" t="s">
        <v>57</v>
      </c>
      <c r="C32" s="8" t="s">
        <v>58</v>
      </c>
      <c r="D32" s="8" t="str">
        <f>"卓圆梦"</f>
        <v>卓圆梦</v>
      </c>
      <c r="E32" s="8">
        <v>0</v>
      </c>
      <c r="F32" s="8">
        <v>0</v>
      </c>
      <c r="G32" s="9">
        <v>0</v>
      </c>
      <c r="H32" s="8">
        <v>0</v>
      </c>
      <c r="I32" s="9">
        <v>0</v>
      </c>
      <c r="J32" s="9">
        <v>0</v>
      </c>
      <c r="K32" s="8">
        <v>0</v>
      </c>
      <c r="L32" s="9" t="s">
        <v>17</v>
      </c>
      <c r="M32" s="8" t="s">
        <v>19</v>
      </c>
      <c r="N32" s="8"/>
    </row>
    <row r="33" s="1" customFormat="1" ht="28" customHeight="1" spans="1:14">
      <c r="A33" s="8">
        <v>30</v>
      </c>
      <c r="B33" s="8" t="s">
        <v>57</v>
      </c>
      <c r="C33" s="8" t="s">
        <v>58</v>
      </c>
      <c r="D33" s="8" t="str">
        <f>"陈永达"</f>
        <v>陈永达</v>
      </c>
      <c r="E33" s="8">
        <v>0</v>
      </c>
      <c r="F33" s="8">
        <v>0</v>
      </c>
      <c r="G33" s="9">
        <v>0</v>
      </c>
      <c r="H33" s="8">
        <v>0</v>
      </c>
      <c r="I33" s="9">
        <v>0</v>
      </c>
      <c r="J33" s="9">
        <v>0</v>
      </c>
      <c r="K33" s="8">
        <v>0</v>
      </c>
      <c r="L33" s="9" t="s">
        <v>17</v>
      </c>
      <c r="M33" s="8" t="s">
        <v>19</v>
      </c>
      <c r="N33" s="8"/>
    </row>
    <row r="34" s="1" customFormat="1" ht="28" customHeight="1" spans="1:14">
      <c r="A34" s="8">
        <v>31</v>
      </c>
      <c r="B34" s="8" t="s">
        <v>57</v>
      </c>
      <c r="C34" s="8" t="s">
        <v>58</v>
      </c>
      <c r="D34" s="8" t="str">
        <f>"林新景"</f>
        <v>林新景</v>
      </c>
      <c r="E34" s="8">
        <v>0</v>
      </c>
      <c r="F34" s="8">
        <v>0</v>
      </c>
      <c r="G34" s="9">
        <v>0</v>
      </c>
      <c r="H34" s="8">
        <v>0</v>
      </c>
      <c r="I34" s="9">
        <v>0</v>
      </c>
      <c r="J34" s="9">
        <v>0</v>
      </c>
      <c r="K34" s="8">
        <v>0</v>
      </c>
      <c r="L34" s="9" t="s">
        <v>17</v>
      </c>
      <c r="M34" s="8" t="s">
        <v>19</v>
      </c>
      <c r="N34" s="8"/>
    </row>
    <row r="35" s="1" customFormat="1" ht="28" customHeight="1" spans="1:14">
      <c r="A35" s="8">
        <v>32</v>
      </c>
      <c r="B35" s="8" t="s">
        <v>57</v>
      </c>
      <c r="C35" s="8" t="s">
        <v>58</v>
      </c>
      <c r="D35" s="8" t="str">
        <f>"蔡汝浩"</f>
        <v>蔡汝浩</v>
      </c>
      <c r="E35" s="8">
        <v>0</v>
      </c>
      <c r="F35" s="8">
        <v>0</v>
      </c>
      <c r="G35" s="9">
        <v>0</v>
      </c>
      <c r="H35" s="8">
        <v>0</v>
      </c>
      <c r="I35" s="9">
        <v>0</v>
      </c>
      <c r="J35" s="9">
        <v>0</v>
      </c>
      <c r="K35" s="8">
        <v>0</v>
      </c>
      <c r="L35" s="9" t="s">
        <v>17</v>
      </c>
      <c r="M35" s="8" t="s">
        <v>19</v>
      </c>
      <c r="N35" s="8"/>
    </row>
    <row r="36" s="1" customFormat="1" ht="28" customHeight="1" spans="1:14">
      <c r="A36" s="8">
        <v>33</v>
      </c>
      <c r="B36" s="8" t="s">
        <v>57</v>
      </c>
      <c r="C36" s="8" t="s">
        <v>58</v>
      </c>
      <c r="D36" s="8" t="str">
        <f>"林欣欣"</f>
        <v>林欣欣</v>
      </c>
      <c r="E36" s="8">
        <v>0</v>
      </c>
      <c r="F36" s="8">
        <v>0</v>
      </c>
      <c r="G36" s="9">
        <v>0</v>
      </c>
      <c r="H36" s="8">
        <v>0</v>
      </c>
      <c r="I36" s="9">
        <v>0</v>
      </c>
      <c r="J36" s="9">
        <v>0</v>
      </c>
      <c r="K36" s="8">
        <v>0</v>
      </c>
      <c r="L36" s="9" t="s">
        <v>17</v>
      </c>
      <c r="M36" s="8" t="s">
        <v>19</v>
      </c>
      <c r="N36" s="8"/>
    </row>
    <row r="37" s="1" customFormat="1" ht="28" customHeight="1" spans="1:14">
      <c r="A37" s="8">
        <v>34</v>
      </c>
      <c r="B37" s="8" t="s">
        <v>57</v>
      </c>
      <c r="C37" s="8" t="s">
        <v>58</v>
      </c>
      <c r="D37" s="8" t="str">
        <f>"张浩"</f>
        <v>张浩</v>
      </c>
      <c r="E37" s="8">
        <v>0</v>
      </c>
      <c r="F37" s="8">
        <v>0</v>
      </c>
      <c r="G37" s="9">
        <v>0</v>
      </c>
      <c r="H37" s="8">
        <v>0</v>
      </c>
      <c r="I37" s="9">
        <v>0</v>
      </c>
      <c r="J37" s="9">
        <v>0</v>
      </c>
      <c r="K37" s="8">
        <v>0</v>
      </c>
      <c r="L37" s="9" t="s">
        <v>17</v>
      </c>
      <c r="M37" s="8" t="s">
        <v>19</v>
      </c>
      <c r="N37" s="8"/>
    </row>
    <row r="38" s="1" customFormat="1" ht="28" customHeight="1" spans="1:14">
      <c r="A38" s="8">
        <v>35</v>
      </c>
      <c r="B38" s="8" t="s">
        <v>57</v>
      </c>
      <c r="C38" s="8" t="s">
        <v>58</v>
      </c>
      <c r="D38" s="8" t="str">
        <f>"王涵"</f>
        <v>王涵</v>
      </c>
      <c r="E38" s="8">
        <v>0</v>
      </c>
      <c r="F38" s="8">
        <v>0</v>
      </c>
      <c r="G38" s="9">
        <v>0</v>
      </c>
      <c r="H38" s="8">
        <v>0</v>
      </c>
      <c r="I38" s="9">
        <v>0</v>
      </c>
      <c r="J38" s="9">
        <v>0</v>
      </c>
      <c r="K38" s="8">
        <v>0</v>
      </c>
      <c r="L38" s="9" t="s">
        <v>17</v>
      </c>
      <c r="M38" s="8" t="s">
        <v>19</v>
      </c>
      <c r="N38" s="8"/>
    </row>
    <row r="39" s="1" customFormat="1" ht="28" customHeight="1" spans="1:14">
      <c r="A39" s="8">
        <v>36</v>
      </c>
      <c r="B39" s="8" t="s">
        <v>57</v>
      </c>
      <c r="C39" s="8" t="s">
        <v>58</v>
      </c>
      <c r="D39" s="8" t="str">
        <f>"古诗"</f>
        <v>古诗</v>
      </c>
      <c r="E39" s="8">
        <v>0</v>
      </c>
      <c r="F39" s="8">
        <v>0</v>
      </c>
      <c r="G39" s="9">
        <v>0</v>
      </c>
      <c r="H39" s="8">
        <v>0</v>
      </c>
      <c r="I39" s="9">
        <v>0</v>
      </c>
      <c r="J39" s="9">
        <v>0</v>
      </c>
      <c r="K39" s="8">
        <v>0</v>
      </c>
      <c r="L39" s="9" t="s">
        <v>17</v>
      </c>
      <c r="M39" s="8" t="s">
        <v>19</v>
      </c>
      <c r="N39" s="8"/>
    </row>
    <row r="40" s="1" customFormat="1" ht="28" customHeight="1" spans="1:14">
      <c r="A40" s="8">
        <v>37</v>
      </c>
      <c r="B40" s="8" t="s">
        <v>57</v>
      </c>
      <c r="C40" s="8" t="s">
        <v>58</v>
      </c>
      <c r="D40" s="8" t="str">
        <f>"邓梓豪"</f>
        <v>邓梓豪</v>
      </c>
      <c r="E40" s="8">
        <v>0</v>
      </c>
      <c r="F40" s="8">
        <v>0</v>
      </c>
      <c r="G40" s="9">
        <v>0</v>
      </c>
      <c r="H40" s="8">
        <v>0</v>
      </c>
      <c r="I40" s="9">
        <v>0</v>
      </c>
      <c r="J40" s="9">
        <v>0</v>
      </c>
      <c r="K40" s="8">
        <v>0</v>
      </c>
      <c r="L40" s="9" t="s">
        <v>17</v>
      </c>
      <c r="M40" s="8" t="s">
        <v>19</v>
      </c>
      <c r="N40" s="8"/>
    </row>
    <row r="41" s="1" customFormat="1" ht="28" customHeight="1" spans="1:14">
      <c r="A41" s="8">
        <v>38</v>
      </c>
      <c r="B41" s="8" t="s">
        <v>57</v>
      </c>
      <c r="C41" s="8" t="s">
        <v>58</v>
      </c>
      <c r="D41" s="8" t="str">
        <f>"王世龙"</f>
        <v>王世龙</v>
      </c>
      <c r="E41" s="8">
        <v>0</v>
      </c>
      <c r="F41" s="8">
        <v>0</v>
      </c>
      <c r="G41" s="9">
        <v>0</v>
      </c>
      <c r="H41" s="8">
        <v>0</v>
      </c>
      <c r="I41" s="9">
        <v>0</v>
      </c>
      <c r="J41" s="9">
        <v>0</v>
      </c>
      <c r="K41" s="8">
        <v>0</v>
      </c>
      <c r="L41" s="9" t="s">
        <v>17</v>
      </c>
      <c r="M41" s="8" t="s">
        <v>19</v>
      </c>
      <c r="N41" s="8"/>
    </row>
    <row r="42" s="1" customFormat="1" ht="28" customHeight="1" spans="1:14">
      <c r="A42" s="8">
        <v>39</v>
      </c>
      <c r="B42" s="8" t="s">
        <v>57</v>
      </c>
      <c r="C42" s="8" t="s">
        <v>58</v>
      </c>
      <c r="D42" s="8" t="str">
        <f>"王小霞"</f>
        <v>王小霞</v>
      </c>
      <c r="E42" s="8">
        <v>0</v>
      </c>
      <c r="F42" s="8">
        <v>0</v>
      </c>
      <c r="G42" s="9">
        <v>0</v>
      </c>
      <c r="H42" s="8">
        <v>0</v>
      </c>
      <c r="I42" s="9">
        <v>0</v>
      </c>
      <c r="J42" s="9">
        <v>0</v>
      </c>
      <c r="K42" s="8">
        <v>0</v>
      </c>
      <c r="L42" s="9" t="s">
        <v>17</v>
      </c>
      <c r="M42" s="8" t="s">
        <v>19</v>
      </c>
      <c r="N42" s="8"/>
    </row>
    <row r="43" s="1" customFormat="1" ht="28" customHeight="1" spans="1:14">
      <c r="A43" s="8">
        <v>40</v>
      </c>
      <c r="B43" s="8" t="s">
        <v>57</v>
      </c>
      <c r="C43" s="8" t="s">
        <v>58</v>
      </c>
      <c r="D43" s="8" t="str">
        <f>"何锦媛"</f>
        <v>何锦媛</v>
      </c>
      <c r="E43" s="8">
        <v>0</v>
      </c>
      <c r="F43" s="8">
        <v>0</v>
      </c>
      <c r="G43" s="9">
        <v>0</v>
      </c>
      <c r="H43" s="8">
        <v>0</v>
      </c>
      <c r="I43" s="9">
        <v>0</v>
      </c>
      <c r="J43" s="9">
        <v>0</v>
      </c>
      <c r="K43" s="8">
        <v>0</v>
      </c>
      <c r="L43" s="9" t="s">
        <v>17</v>
      </c>
      <c r="M43" s="8" t="s">
        <v>19</v>
      </c>
      <c r="N43" s="8"/>
    </row>
    <row r="44" s="1" customFormat="1" ht="28" customHeight="1" spans="1:14">
      <c r="A44" s="8">
        <v>41</v>
      </c>
      <c r="B44" s="8" t="s">
        <v>57</v>
      </c>
      <c r="C44" s="8" t="s">
        <v>58</v>
      </c>
      <c r="D44" s="8" t="str">
        <f>"盛国权"</f>
        <v>盛国权</v>
      </c>
      <c r="E44" s="8">
        <v>0</v>
      </c>
      <c r="F44" s="8">
        <v>0</v>
      </c>
      <c r="G44" s="9">
        <v>0</v>
      </c>
      <c r="H44" s="8">
        <v>0</v>
      </c>
      <c r="I44" s="9">
        <v>0</v>
      </c>
      <c r="J44" s="9">
        <v>0</v>
      </c>
      <c r="K44" s="8">
        <v>0</v>
      </c>
      <c r="L44" s="9" t="s">
        <v>17</v>
      </c>
      <c r="M44" s="8" t="s">
        <v>19</v>
      </c>
      <c r="N44" s="8"/>
    </row>
    <row r="45" s="1" customFormat="1" ht="28" customHeight="1" spans="1:14">
      <c r="A45" s="8">
        <v>42</v>
      </c>
      <c r="B45" s="8" t="s">
        <v>57</v>
      </c>
      <c r="C45" s="8" t="s">
        <v>58</v>
      </c>
      <c r="D45" s="8" t="str">
        <f>"刘子堰 "</f>
        <v>刘子堰 </v>
      </c>
      <c r="E45" s="8">
        <v>0</v>
      </c>
      <c r="F45" s="8">
        <v>0</v>
      </c>
      <c r="G45" s="9">
        <v>0</v>
      </c>
      <c r="H45" s="8">
        <v>0</v>
      </c>
      <c r="I45" s="9">
        <v>0</v>
      </c>
      <c r="J45" s="9">
        <v>0</v>
      </c>
      <c r="K45" s="8">
        <v>0</v>
      </c>
      <c r="L45" s="9" t="s">
        <v>17</v>
      </c>
      <c r="M45" s="8" t="s">
        <v>19</v>
      </c>
      <c r="N45" s="8"/>
    </row>
    <row r="46" s="1" customFormat="1" ht="28" customHeight="1" spans="1:14">
      <c r="A46" s="8">
        <v>43</v>
      </c>
      <c r="B46" s="8" t="s">
        <v>57</v>
      </c>
      <c r="C46" s="8" t="s">
        <v>58</v>
      </c>
      <c r="D46" s="8" t="str">
        <f>"卓静丽"</f>
        <v>卓静丽</v>
      </c>
      <c r="E46" s="8">
        <v>0</v>
      </c>
      <c r="F46" s="8">
        <v>0</v>
      </c>
      <c r="G46" s="9">
        <v>0</v>
      </c>
      <c r="H46" s="8">
        <v>0</v>
      </c>
      <c r="I46" s="9">
        <v>0</v>
      </c>
      <c r="J46" s="9">
        <v>0</v>
      </c>
      <c r="K46" s="8">
        <v>0</v>
      </c>
      <c r="L46" s="9" t="s">
        <v>17</v>
      </c>
      <c r="M46" s="8" t="s">
        <v>19</v>
      </c>
      <c r="N46" s="8"/>
    </row>
    <row r="47" s="1" customFormat="1" ht="28" customHeight="1" spans="1:14">
      <c r="A47" s="8">
        <v>44</v>
      </c>
      <c r="B47" s="8" t="s">
        <v>57</v>
      </c>
      <c r="C47" s="8" t="s">
        <v>58</v>
      </c>
      <c r="D47" s="8" t="str">
        <f>"张昭勋"</f>
        <v>张昭勋</v>
      </c>
      <c r="E47" s="8">
        <v>0</v>
      </c>
      <c r="F47" s="8">
        <v>0</v>
      </c>
      <c r="G47" s="9">
        <v>0</v>
      </c>
      <c r="H47" s="8">
        <v>0</v>
      </c>
      <c r="I47" s="9">
        <v>0</v>
      </c>
      <c r="J47" s="9">
        <v>0</v>
      </c>
      <c r="K47" s="8">
        <v>0</v>
      </c>
      <c r="L47" s="9" t="s">
        <v>17</v>
      </c>
      <c r="M47" s="8" t="s">
        <v>19</v>
      </c>
      <c r="N47" s="8"/>
    </row>
    <row r="48" s="1" customFormat="1" ht="28" customHeight="1" spans="1:14">
      <c r="A48" s="8">
        <v>45</v>
      </c>
      <c r="B48" s="8" t="s">
        <v>57</v>
      </c>
      <c r="C48" s="8" t="s">
        <v>58</v>
      </c>
      <c r="D48" s="8" t="str">
        <f>"周宏程"</f>
        <v>周宏程</v>
      </c>
      <c r="E48" s="8">
        <v>0</v>
      </c>
      <c r="F48" s="8">
        <v>0</v>
      </c>
      <c r="G48" s="9">
        <v>0</v>
      </c>
      <c r="H48" s="8">
        <v>0</v>
      </c>
      <c r="I48" s="9">
        <v>0</v>
      </c>
      <c r="J48" s="9">
        <v>0</v>
      </c>
      <c r="K48" s="8">
        <v>0</v>
      </c>
      <c r="L48" s="9" t="s">
        <v>17</v>
      </c>
      <c r="M48" s="8" t="s">
        <v>19</v>
      </c>
      <c r="N48" s="8"/>
    </row>
    <row r="49" s="1" customFormat="1" ht="28" customHeight="1" spans="1:14">
      <c r="A49" s="8">
        <v>46</v>
      </c>
      <c r="B49" s="8" t="s">
        <v>57</v>
      </c>
      <c r="C49" s="8" t="s">
        <v>58</v>
      </c>
      <c r="D49" s="8" t="str">
        <f>"邓少霞"</f>
        <v>邓少霞</v>
      </c>
      <c r="E49" s="8">
        <v>0</v>
      </c>
      <c r="F49" s="8">
        <v>0</v>
      </c>
      <c r="G49" s="9">
        <v>0</v>
      </c>
      <c r="H49" s="8">
        <v>0</v>
      </c>
      <c r="I49" s="9">
        <v>0</v>
      </c>
      <c r="J49" s="9">
        <v>0</v>
      </c>
      <c r="K49" s="8">
        <v>0</v>
      </c>
      <c r="L49" s="9" t="s">
        <v>17</v>
      </c>
      <c r="M49" s="8" t="s">
        <v>19</v>
      </c>
      <c r="N49" s="8"/>
    </row>
    <row r="50" s="1" customFormat="1" ht="28" customHeight="1" spans="1:14">
      <c r="A50" s="8">
        <v>47</v>
      </c>
      <c r="B50" s="8" t="s">
        <v>57</v>
      </c>
      <c r="C50" s="8" t="s">
        <v>58</v>
      </c>
      <c r="D50" s="8" t="str">
        <f>"黄庆楼"</f>
        <v>黄庆楼</v>
      </c>
      <c r="E50" s="8">
        <v>0</v>
      </c>
      <c r="F50" s="8">
        <v>0</v>
      </c>
      <c r="G50" s="9">
        <v>0</v>
      </c>
      <c r="H50" s="8">
        <v>0</v>
      </c>
      <c r="I50" s="9">
        <v>0</v>
      </c>
      <c r="J50" s="9">
        <v>0</v>
      </c>
      <c r="K50" s="8">
        <v>0</v>
      </c>
      <c r="L50" s="9" t="s">
        <v>17</v>
      </c>
      <c r="M50" s="8" t="s">
        <v>19</v>
      </c>
      <c r="N50" s="8"/>
    </row>
    <row r="51" s="1" customFormat="1" ht="28" customHeight="1" spans="1:14">
      <c r="A51" s="8">
        <v>48</v>
      </c>
      <c r="B51" s="8" t="s">
        <v>57</v>
      </c>
      <c r="C51" s="8" t="s">
        <v>58</v>
      </c>
      <c r="D51" s="8" t="str">
        <f>"谭珏"</f>
        <v>谭珏</v>
      </c>
      <c r="E51" s="8">
        <v>0</v>
      </c>
      <c r="F51" s="8">
        <v>0</v>
      </c>
      <c r="G51" s="9">
        <v>0</v>
      </c>
      <c r="H51" s="8">
        <v>0</v>
      </c>
      <c r="I51" s="9">
        <v>0</v>
      </c>
      <c r="J51" s="9">
        <v>0</v>
      </c>
      <c r="K51" s="8">
        <v>0</v>
      </c>
      <c r="L51" s="9" t="s">
        <v>17</v>
      </c>
      <c r="M51" s="8" t="s">
        <v>19</v>
      </c>
      <c r="N51" s="8"/>
    </row>
    <row r="52" s="1" customFormat="1" ht="28" customHeight="1" spans="1:14">
      <c r="A52" s="8">
        <v>49</v>
      </c>
      <c r="B52" s="8" t="s">
        <v>57</v>
      </c>
      <c r="C52" s="8" t="s">
        <v>58</v>
      </c>
      <c r="D52" s="8" t="str">
        <f>"王小娜"</f>
        <v>王小娜</v>
      </c>
      <c r="E52" s="8">
        <v>0</v>
      </c>
      <c r="F52" s="8">
        <v>0</v>
      </c>
      <c r="G52" s="9">
        <v>0</v>
      </c>
      <c r="H52" s="8">
        <v>0</v>
      </c>
      <c r="I52" s="9">
        <v>0</v>
      </c>
      <c r="J52" s="9">
        <v>0</v>
      </c>
      <c r="K52" s="8">
        <v>0</v>
      </c>
      <c r="L52" s="9" t="s">
        <v>17</v>
      </c>
      <c r="M52" s="8" t="s">
        <v>19</v>
      </c>
      <c r="N52" s="8"/>
    </row>
    <row r="53" s="1" customFormat="1" ht="28" customHeight="1" spans="1:14">
      <c r="A53" s="8">
        <v>50</v>
      </c>
      <c r="B53" s="8" t="s">
        <v>57</v>
      </c>
      <c r="C53" s="8" t="s">
        <v>58</v>
      </c>
      <c r="D53" s="8" t="str">
        <f>"陈子妞"</f>
        <v>陈子妞</v>
      </c>
      <c r="E53" s="8">
        <v>0</v>
      </c>
      <c r="F53" s="8">
        <v>0</v>
      </c>
      <c r="G53" s="9">
        <v>0</v>
      </c>
      <c r="H53" s="8">
        <v>0</v>
      </c>
      <c r="I53" s="9">
        <v>0</v>
      </c>
      <c r="J53" s="9">
        <v>0</v>
      </c>
      <c r="K53" s="8">
        <v>0</v>
      </c>
      <c r="L53" s="9" t="s">
        <v>17</v>
      </c>
      <c r="M53" s="8" t="s">
        <v>19</v>
      </c>
      <c r="N53" s="8"/>
    </row>
    <row r="54" s="1" customFormat="1" ht="28" customHeight="1" spans="1:14">
      <c r="A54" s="8">
        <v>51</v>
      </c>
      <c r="B54" s="8" t="s">
        <v>57</v>
      </c>
      <c r="C54" s="8" t="s">
        <v>58</v>
      </c>
      <c r="D54" s="8" t="str">
        <f>"黎亚婷"</f>
        <v>黎亚婷</v>
      </c>
      <c r="E54" s="8">
        <v>0</v>
      </c>
      <c r="F54" s="8">
        <v>0</v>
      </c>
      <c r="G54" s="9">
        <v>0</v>
      </c>
      <c r="H54" s="8">
        <v>0</v>
      </c>
      <c r="I54" s="9">
        <v>0</v>
      </c>
      <c r="J54" s="9">
        <v>0</v>
      </c>
      <c r="K54" s="8">
        <v>0</v>
      </c>
      <c r="L54" s="9" t="s">
        <v>17</v>
      </c>
      <c r="M54" s="8" t="s">
        <v>19</v>
      </c>
      <c r="N54" s="8"/>
    </row>
    <row r="55" s="1" customFormat="1" ht="28" customHeight="1" spans="1:14">
      <c r="A55" s="8">
        <v>52</v>
      </c>
      <c r="B55" s="8" t="s">
        <v>57</v>
      </c>
      <c r="C55" s="8" t="s">
        <v>58</v>
      </c>
      <c r="D55" s="15" t="str">
        <f>"王柳燕"</f>
        <v>王柳燕</v>
      </c>
      <c r="E55" s="8">
        <v>0</v>
      </c>
      <c r="F55" s="8">
        <v>0</v>
      </c>
      <c r="G55" s="9">
        <v>0</v>
      </c>
      <c r="H55" s="8">
        <v>0</v>
      </c>
      <c r="I55" s="9">
        <v>0</v>
      </c>
      <c r="J55" s="9">
        <v>0</v>
      </c>
      <c r="K55" s="8">
        <v>0</v>
      </c>
      <c r="L55" s="9" t="s">
        <v>17</v>
      </c>
      <c r="M55" s="8" t="s">
        <v>19</v>
      </c>
      <c r="N55" s="8"/>
    </row>
    <row r="56" ht="18.75" spans="5:5">
      <c r="E56" s="16"/>
    </row>
  </sheetData>
  <sheetProtection password="9F33" sheet="1" objects="1"/>
  <sortState ref="D3:E55">
    <sortCondition ref="E3:E55" descending="1"/>
  </sortState>
  <mergeCells count="10">
    <mergeCell ref="A1:N1"/>
    <mergeCell ref="E2:J2"/>
    <mergeCell ref="A2:A3"/>
    <mergeCell ref="B2:B3"/>
    <mergeCell ref="C2:C3"/>
    <mergeCell ref="D2:D3"/>
    <mergeCell ref="K2:K3"/>
    <mergeCell ref="L2:L3"/>
    <mergeCell ref="M2:M3"/>
    <mergeCell ref="N2:N3"/>
  </mergeCells>
  <pageMargins left="0.700694444444445" right="0.700694444444445" top="0.751388888888889" bottom="0.751388888888889" header="0.297916666666667" footer="0.297916666666667"/>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气候康养</vt:lpstr>
      <vt:lpstr>雨林度假与运动探险</vt:lpstr>
      <vt:lpstr>文化创意</vt:lpstr>
      <vt:lpstr>南药开发与热带果蔬</vt:lpstr>
      <vt:lpstr>休闲农业</vt:lpstr>
      <vt:lpstr>生物科创</vt:lpstr>
      <vt:lpstr>智慧经济</vt:lpstr>
      <vt:lpstr>总部经济</vt:lpstr>
      <vt:lpstr>国有资产管理</vt:lpstr>
      <vt:lpstr>规划编制</vt:lpstr>
      <vt:lpstr>土地测绘开发整理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陈炬升</dc:creator>
  <cp:lastModifiedBy>lenovo</cp:lastModifiedBy>
  <dcterms:created xsi:type="dcterms:W3CDTF">2023-08-07T09:16:00Z</dcterms:created>
  <dcterms:modified xsi:type="dcterms:W3CDTF">2023-08-10T09:02:10Z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D70844FE999941E7B23BE715E52AFC83_13</vt:lpwstr>
  </property>
  <property fmtid="{D5CDD505-2E9C-101B-9397-08002B2CF9AE}" pid="3" name="KSOProductBuildVer">
    <vt:lpwstr>2052-10.8.0.5603</vt:lpwstr>
  </property>
</Properties>
</file>